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tnakaarai/Downloads/"/>
    </mc:Choice>
  </mc:AlternateContent>
  <xr:revisionPtr revIDLastSave="0" documentId="13_ncr:1_{120444C8-A263-D14B-87B4-B08922C6FB19}" xr6:coauthVersionLast="36" xr6:coauthVersionMax="36" xr10:uidLastSave="{00000000-0000-0000-0000-000000000000}"/>
  <bookViews>
    <workbookView xWindow="600" yWindow="1280" windowWidth="18700" windowHeight="13900" xr2:uid="{00000000-000D-0000-FFFF-FFFF00000000}"/>
  </bookViews>
  <sheets>
    <sheet name="Sheet1" sheetId="5" r:id="rId1"/>
    <sheet name="Display me" sheetId="4" state="hidden" r:id="rId2"/>
  </sheets>
  <definedNames>
    <definedName name="_xlnm.Print_Titles" localSheetId="0">Sheet1!$4:$4</definedName>
  </definedNames>
  <calcPr calcId="181029"/>
</workbook>
</file>

<file path=xl/calcChain.xml><?xml version="1.0" encoding="utf-8"?>
<calcChain xmlns="http://schemas.openxmlformats.org/spreadsheetml/2006/main">
  <c r="I622" i="5" l="1"/>
  <c r="I621" i="5"/>
  <c r="I620" i="5"/>
  <c r="I619" i="5"/>
  <c r="I618" i="5"/>
  <c r="I617" i="5"/>
  <c r="I616" i="5"/>
  <c r="I615" i="5"/>
  <c r="I614" i="5"/>
  <c r="I613" i="5"/>
  <c r="I612" i="5"/>
  <c r="I611" i="5"/>
  <c r="I610" i="5"/>
  <c r="I609" i="5"/>
  <c r="I608" i="5"/>
  <c r="I607" i="5"/>
  <c r="I606" i="5"/>
  <c r="I605" i="5"/>
  <c r="I604" i="5"/>
  <c r="I603" i="5"/>
  <c r="I602" i="5"/>
  <c r="I601" i="5"/>
  <c r="I600" i="5"/>
  <c r="I599" i="5"/>
  <c r="I598" i="5"/>
  <c r="I597" i="5"/>
  <c r="I596" i="5"/>
  <c r="I595" i="5"/>
  <c r="I594" i="5"/>
  <c r="I593" i="5"/>
  <c r="I592" i="5"/>
  <c r="I591" i="5"/>
  <c r="I590" i="5"/>
  <c r="I589" i="5"/>
  <c r="I588" i="5"/>
  <c r="I587" i="5"/>
  <c r="I586" i="5"/>
  <c r="I585" i="5"/>
  <c r="I584" i="5"/>
  <c r="I583" i="5"/>
  <c r="I582" i="5"/>
  <c r="I581" i="5"/>
  <c r="I580" i="5"/>
  <c r="I579" i="5"/>
  <c r="I578" i="5"/>
  <c r="I577" i="5"/>
  <c r="I576" i="5"/>
  <c r="I575" i="5"/>
  <c r="I574" i="5"/>
  <c r="I573" i="5"/>
  <c r="I572" i="5"/>
  <c r="I571" i="5"/>
  <c r="I570" i="5"/>
  <c r="I569" i="5"/>
  <c r="I568" i="5"/>
  <c r="I567" i="5"/>
  <c r="I566" i="5"/>
  <c r="I565" i="5"/>
  <c r="I564" i="5"/>
  <c r="I563" i="5"/>
  <c r="I562" i="5"/>
  <c r="I561" i="5"/>
  <c r="I560" i="5"/>
  <c r="I559" i="5"/>
  <c r="I558" i="5"/>
  <c r="I557" i="5"/>
  <c r="I556" i="5"/>
  <c r="I555" i="5"/>
  <c r="I554" i="5"/>
  <c r="I553" i="5"/>
  <c r="I552" i="5"/>
  <c r="I551" i="5"/>
  <c r="I550" i="5"/>
  <c r="I549" i="5"/>
  <c r="I548" i="5"/>
  <c r="I547" i="5"/>
  <c r="I546" i="5"/>
  <c r="I545" i="5"/>
  <c r="I544" i="5"/>
  <c r="I543" i="5"/>
  <c r="I542" i="5"/>
  <c r="I541" i="5"/>
  <c r="I540" i="5"/>
  <c r="I539" i="5"/>
  <c r="I538" i="5"/>
  <c r="I537" i="5"/>
  <c r="I536" i="5"/>
  <c r="I535" i="5"/>
  <c r="I534" i="5"/>
  <c r="I533" i="5"/>
  <c r="I532" i="5"/>
  <c r="I531" i="5"/>
  <c r="I530" i="5"/>
  <c r="I529" i="5"/>
  <c r="I528" i="5"/>
  <c r="I527" i="5"/>
  <c r="I526" i="5"/>
  <c r="I525" i="5"/>
  <c r="I524" i="5"/>
  <c r="I523" i="5"/>
  <c r="I522" i="5"/>
  <c r="I521" i="5"/>
  <c r="I520" i="5"/>
  <c r="I519" i="5"/>
  <c r="I518" i="5"/>
  <c r="I517" i="5"/>
  <c r="I516" i="5"/>
  <c r="I515" i="5"/>
  <c r="I514" i="5"/>
  <c r="I513" i="5"/>
  <c r="I512" i="5"/>
  <c r="I511" i="5"/>
  <c r="I510" i="5"/>
  <c r="I509" i="5"/>
  <c r="I508" i="5"/>
  <c r="I507" i="5"/>
  <c r="I506" i="5"/>
  <c r="I505" i="5"/>
  <c r="I504" i="5"/>
  <c r="I503" i="5"/>
  <c r="I502" i="5"/>
  <c r="I501" i="5"/>
  <c r="I500" i="5"/>
  <c r="I499" i="5"/>
  <c r="I498" i="5"/>
  <c r="I497" i="5"/>
  <c r="I496" i="5"/>
  <c r="I495" i="5"/>
  <c r="I494" i="5"/>
  <c r="I493" i="5"/>
  <c r="I492" i="5"/>
  <c r="I491" i="5"/>
  <c r="I490" i="5"/>
  <c r="I489" i="5"/>
  <c r="I488" i="5"/>
  <c r="I487" i="5"/>
  <c r="I486" i="5"/>
  <c r="I485" i="5"/>
  <c r="I484" i="5"/>
  <c r="I483" i="5"/>
  <c r="I482" i="5"/>
  <c r="I481" i="5"/>
  <c r="I480" i="5"/>
  <c r="I479" i="5"/>
  <c r="I478" i="5"/>
  <c r="I477" i="5"/>
  <c r="I476" i="5"/>
  <c r="I475" i="5"/>
  <c r="I474" i="5"/>
  <c r="I473" i="5"/>
  <c r="I472" i="5"/>
  <c r="I471" i="5"/>
  <c r="I470" i="5"/>
  <c r="I469" i="5"/>
  <c r="I468" i="5"/>
  <c r="I467" i="5"/>
  <c r="I466" i="5"/>
  <c r="I465" i="5"/>
  <c r="I464" i="5"/>
  <c r="I463" i="5"/>
  <c r="I462" i="5"/>
  <c r="I461" i="5"/>
  <c r="I460" i="5"/>
  <c r="I459" i="5"/>
  <c r="I458" i="5"/>
  <c r="I457" i="5"/>
  <c r="I456" i="5"/>
  <c r="I455" i="5"/>
  <c r="I454" i="5"/>
  <c r="I453" i="5"/>
  <c r="I452" i="5"/>
  <c r="I451" i="5"/>
  <c r="I450" i="5"/>
  <c r="I449" i="5"/>
  <c r="I448" i="5"/>
  <c r="I447" i="5"/>
  <c r="I446" i="5"/>
  <c r="I445" i="5"/>
  <c r="I444" i="5"/>
  <c r="I443" i="5"/>
  <c r="I442" i="5"/>
  <c r="I441" i="5"/>
  <c r="I440" i="5"/>
  <c r="I439" i="5"/>
  <c r="I438" i="5"/>
  <c r="I437" i="5"/>
  <c r="I436" i="5"/>
  <c r="I435" i="5"/>
  <c r="I434" i="5"/>
  <c r="I433" i="5"/>
  <c r="I432" i="5"/>
  <c r="I431" i="5"/>
  <c r="I430" i="5"/>
  <c r="I429" i="5"/>
  <c r="I428" i="5"/>
  <c r="I427" i="5"/>
  <c r="I426" i="5"/>
  <c r="I425" i="5"/>
  <c r="I424" i="5"/>
  <c r="I423" i="5"/>
  <c r="I422" i="5"/>
  <c r="I421" i="5"/>
  <c r="I420" i="5"/>
  <c r="I419" i="5"/>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65" i="5"/>
  <c r="I364" i="5"/>
  <c r="I363" i="5"/>
  <c r="I362" i="5"/>
  <c r="I361" i="5"/>
  <c r="I360" i="5"/>
  <c r="I359" i="5"/>
  <c r="I358" i="5"/>
  <c r="I357" i="5"/>
  <c r="I356" i="5"/>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alcChain>
</file>

<file path=xl/sharedStrings.xml><?xml version="1.0" encoding="utf-8"?>
<sst xmlns="http://schemas.openxmlformats.org/spreadsheetml/2006/main" count="6195" uniqueCount="1249">
  <si>
    <t>This sheet was hidden in the template, and it becomes visible.</t>
  </si>
  <si>
    <t>案件名</t>
    <rPh sb="0" eb="3">
      <t>ｱﾝｹﾝﾒｲ</t>
    </rPh>
    <phoneticPr fontId="1" type="noConversion"/>
  </si>
  <si>
    <t xml:space="preserve">記事タイトル
</t>
    <phoneticPr fontId="1" type="noConversion"/>
  </si>
  <si>
    <t xml:space="preserve">URL
</t>
    <phoneticPr fontId="1" type="noConversion"/>
  </si>
  <si>
    <t xml:space="preserve">掲載日
</t>
    <phoneticPr fontId="1" type="noConversion"/>
  </si>
  <si>
    <t xml:space="preserve">報告日
</t>
    <rPh sb="0" eb="2">
      <t>ﾎｳｺｸ</t>
    </rPh>
    <rPh sb="2" eb="3">
      <t>ﾋﾞ</t>
    </rPh>
    <phoneticPr fontId="1" type="noConversion"/>
  </si>
  <si>
    <t>※キュレーションメディアでの掲載有無</t>
    <rPh sb="14" eb="16">
      <t>ケイサイ</t>
    </rPh>
    <rPh sb="16" eb="18">
      <t>ウム</t>
    </rPh>
    <phoneticPr fontId="2"/>
  </si>
  <si>
    <t>報告記事数
※当月合計</t>
    <rPh sb="0" eb="2">
      <t>ﾎｳｺｸ</t>
    </rPh>
    <rPh sb="2" eb="5">
      <t>ｷｼﾞｽｳ</t>
    </rPh>
    <rPh sb="7" eb="9">
      <t>ﾄｳｹﾞﾂ</t>
    </rPh>
    <rPh sb="9" eb="11">
      <t>ｺﾞｳｹｲ</t>
    </rPh>
    <phoneticPr fontId="1" type="noConversion"/>
  </si>
  <si>
    <t xml:space="preserve">メディア名
</t>
    <phoneticPr fontId="1" type="noConversion"/>
  </si>
  <si>
    <t>合致
キーワード</t>
    <rPh sb="0" eb="2">
      <t>ガッチ</t>
    </rPh>
    <phoneticPr fontId="2"/>
  </si>
  <si>
    <t xml:space="preserve">運営会社
</t>
    <rPh sb="0" eb="2">
      <t>ウンエイ</t>
    </rPh>
    <rPh sb="2" eb="4">
      <t>ガイシャ</t>
    </rPh>
    <phoneticPr fontId="2"/>
  </si>
  <si>
    <t>記事分類</t>
    <phoneticPr fontId="2"/>
  </si>
  <si>
    <t>スポーツブランド</t>
  </si>
  <si>
    <t>News
Picks</t>
  </si>
  <si>
    <t>Antenna
　</t>
  </si>
  <si>
    <t>2021/02/14</t>
  </si>
  <si>
    <t>2021/02/15</t>
  </si>
  <si>
    <t>PRESIDENT ONLINE</t>
  </si>
  <si>
    <t>株式会社プレジデント社</t>
  </si>
  <si>
    <t>[株式会社セレクション・インターナショナル] レッドソックスのグッズが新入荷！ジャケットやパーカー、キャップまで多数入荷！</t>
  </si>
  <si>
    <t>ナイキ</t>
  </si>
  <si>
    <t>リリース原文転載</t>
  </si>
  <si>
    <t>https://president.jp/ud/pressrelease/602888057765615e5d090000</t>
  </si>
  <si>
    <t>-</t>
  </si>
  <si>
    <t>Safari Online</t>
  </si>
  <si>
    <t>株式会社日之出出版</t>
  </si>
  <si>
    <t>〈ナイキ〉大人気スニーカー、 “ダンク ロー”を大人らしく履くコツとは？</t>
  </si>
  <si>
    <t>パブリシティ</t>
  </si>
  <si>
    <t>https://safarilounge.jp/online/fashion/detail.php?id=6796</t>
  </si>
  <si>
    <t>○</t>
  </si>
  <si>
    <t>antenna</t>
  </si>
  <si>
    <t>株式会社グライダーアソシエイツ</t>
  </si>
  <si>
    <t>〈ナイキ〉大人気スニーカー、“ダンク ロー”を大人らしく履くコツとは？</t>
  </si>
  <si>
    <t>パブリシティ転載</t>
  </si>
  <si>
    <t>https://antenna.jp/articles/12505842</t>
  </si>
  <si>
    <t>ウェブリーグ</t>
  </si>
  <si>
    <t>株式会社エスエスケイ</t>
  </si>
  <si>
    <t>「ACG 」機能的で持続可能なデザイン</t>
  </si>
  <si>
    <t>http://www.webleague.net/information/news/13214.html</t>
  </si>
  <si>
    <t>「アディダス」ランニングを通じて日常にエナジーを</t>
  </si>
  <si>
    <t>アディダス</t>
  </si>
  <si>
    <t>http://www.webleague.net/information/news/13212.html</t>
  </si>
  <si>
    <t>LINEニュース</t>
  </si>
  <si>
    <t>LINE株式会社</t>
  </si>
  <si>
    <t>「スタンスミス」がサステナブルへ進化した。アディダスが定番スニーカーを「変えた」理由</t>
  </si>
  <si>
    <t>https://news.line.me/issue/oa-huffpost/chcwxi9hhijt</t>
  </si>
  <si>
    <t>MSNニュース</t>
  </si>
  <si>
    <t>Microsoft Corporation</t>
  </si>
  <si>
    <t>https://www.msn.com/ja-jp/news/opinion/%E3%80%8C%E3%82%B9%E3%82%BF%E3%83%B3%E3%82%B9%E3%83%9F%E3%82%B9%E3%80%8D%E3%81%8C%E3%82%B5%E3%82%B9%E3%83%86%E3%83%8A%E3%83%96%E3%83%AB%E3%81%B8%E9%80%B2%E5%8C%96%E3%81%97%E3%81%9F%E3%80%82%E3%82%A2%E3%83%87%E3%82%A3%E3%83%80%E3%82%B9%E3%81%8C%E5%AE%9A%E7%95%AA%E3%82%B9%E3%83%8B%E3%83%BC%E3%82%AB%E3%83%BC%E3%82%92%E3%80%8C%E5%A4%89%E3%81%88%E3%81%9F%E3%80%8D%E7%90%86%E7%94%B1/ar-BB1dDXrS</t>
  </si>
  <si>
    <t>https://www.msn.com/ja-jp/news/opinion/%E3%82%B9%E3%82%BF%E3%83%B3%E3%82%B9%E3%83%9F%E3%82%B9-%E3%81%8C%E3%82%B5%E3%82%B9%E3%83%86%E3%83%8A%E3%83%96%E3%83%AB%E3%81%B8%E9%80%B2%E5%8C%96%E3%81%97%E3%81%9F-%E3%82%A2%E3%83%87%E3%82%A3%E3%83%80%E3%82%B9%E3%81%8C%E5%AE%9A%E7%95%AA%E3%82%B9%E3%83%8B%E3%83%BC%E3%82%AB%E3%83%BC%E3%82%92-%E5%A4%89%E3%81%88%E3%81%9F-%E7%90%86%E7%94%B1/ar-BB1dDXrS</t>
  </si>
  <si>
    <t>Yahoo! ニュース</t>
  </si>
  <si>
    <t>ヤフー株式会社</t>
  </si>
  <si>
    <t>https://news.yahoo.co.jp/articles/b6b77f510d0f3a5aeb06f932ad95ca288bf9469a</t>
  </si>
  <si>
    <t>「ナイキ」25％以上リサイクル素材を用いたパフォーマンスシューズ</t>
  </si>
  <si>
    <t>http://www.webleague.net/information/news/13213.html</t>
  </si>
  <si>
    <t>暮らし～の</t>
  </si>
  <si>
    <t>ペリプラス株式会社</t>
  </si>
  <si>
    <t>【2021】ウォーキングシューズおすすめ11選！これは歩きやすくて疲れない！</t>
  </si>
  <si>
    <t>ヨネックス</t>
  </si>
  <si>
    <t>https://kurashi-no.jp/I0030824</t>
  </si>
  <si>
    <t>Fashionsnap.com</t>
  </si>
  <si>
    <t>株式会社レコオーランド</t>
  </si>
  <si>
    <t>【5分でわかる主要ニュース】綾瀬はるかがユニクロアンバサダーに、H＆M×シモーン・ロシャのアイテム公開、スニーカーバブル終焉？...（2/7〜2/13）</t>
  </si>
  <si>
    <t>https://www.fashionsnap.com/article/roundup2021february14/</t>
  </si>
  <si>
    <t>【一枚でOK】存在感が出るワンピはギンガム柄からフリル衿まで押さえておこう！</t>
  </si>
  <si>
    <t>NIKE</t>
  </si>
  <si>
    <t>https://news.yahoo.co.jp/articles/9c2aa11d05d0e0668a49f8ef2dcbe9b48bb464cf</t>
  </si>
  <si>
    <t>PrettyOnline</t>
  </si>
  <si>
    <t>株式会社大新社</t>
  </si>
  <si>
    <t>【日用品が安い】おすすめ通販サイト4選を紹介！ハイブランドも半額以下？</t>
  </si>
  <si>
    <t>https://www.pretty-online.jp/news/2518/</t>
  </si>
  <si>
    <t>HIGHSNOBIETY</t>
  </si>
  <si>
    <t>Titel Media</t>
  </si>
  <si>
    <t>adidas、ビヨンセと組んだIVY PARK第3弾発売</t>
  </si>
  <si>
    <t>https://highsnobiety.jp/p/adidas-x-ivypark-3/</t>
  </si>
  <si>
    <t>CoRRiENTE.top</t>
  </si>
  <si>
    <t>NANA</t>
  </si>
  <si>
    <t>Apple Watchの ｢心臓月間チャレンジ｣ 本日限りで開催。60分のエクササイズで達成可能</t>
  </si>
  <si>
    <t>https://corriente.top/applewatch-heartmonthchallenge-2021/</t>
  </si>
  <si>
    <t>this.kiji.is</t>
  </si>
  <si>
    <t>ノアドット株式会社</t>
  </si>
  <si>
    <t>EPE MATERNAL, CHILDCARE CENTRE READY IN TWO MONTHS</t>
  </si>
  <si>
    <t>https://this.kiji.is/733335356276801536</t>
  </si>
  <si>
    <t>FNMNL</t>
  </si>
  <si>
    <t>Tokyo Digital Music Syndicates株式会社</t>
  </si>
  <si>
    <t>FutureがHermésのバーキンバッグを再構築した約500万円相当のサンダルを着用</t>
  </si>
  <si>
    <t>https://fnmnl.tv/2021/02/14/117987</t>
  </si>
  <si>
    <t>NIKEからリサイクル素材を用いた初のバスケットボールシューズ『COSMIC UNITY』が登場</t>
  </si>
  <si>
    <t>ナイキ,NIKE</t>
  </si>
  <si>
    <t>https://fnmnl.tv/2021/02/14/118106</t>
  </si>
  <si>
    <t>リサイクル通信</t>
  </si>
  <si>
    <t>株式会社リフォーム産業新聞社</t>
  </si>
  <si>
    <t>UNITED LABEL、倉敷に海外古着卸店「リストレージ」を開店</t>
  </si>
  <si>
    <t>アディダス,ナイキ</t>
  </si>
  <si>
    <t>https://www.recycle-tsushin.com/news/detail_5658.php</t>
  </si>
  <si>
    <t>Mapionニュース</t>
  </si>
  <si>
    <t>株式会社マピオン</t>
  </si>
  <si>
    <t>アディダス、80年代の名作「FORUM」ローカットモデルを復刻</t>
  </si>
  <si>
    <t>https://www.mapion.co.jp/news/column/cobs2196291-1/</t>
  </si>
  <si>
    <t>@nifty ニュース</t>
  </si>
  <si>
    <t>ニフティ株式会社</t>
  </si>
  <si>
    <t>アトモスから歴代のAIR MAXのデザイン、マテリアルを組み合わせた最新作「NIKE VAPOR MAX EVO NRG」発売</t>
  </si>
  <si>
    <t>https://news.nifty.com/article/item/neta/12134-964332/</t>
  </si>
  <si>
    <t>excite.ニュース</t>
  </si>
  <si>
    <t>エキサイト株式会社</t>
  </si>
  <si>
    <t>https://www.excite.co.jp/news/article/Fashion_headline_71013/</t>
  </si>
  <si>
    <t>FASHION HEADLINE</t>
  </si>
  <si>
    <t>株式会社ファッションヘッドライン</t>
  </si>
  <si>
    <t>https://www.fashion-headline.com/article/71013</t>
  </si>
  <si>
    <t>Infoseekニュース</t>
  </si>
  <si>
    <t>楽天株式会社</t>
  </si>
  <si>
    <t>https://news.infoseek.co.jp/article/fashion_headline_fh_71013</t>
  </si>
  <si>
    <t>https://news.infoseek.co.jp/article/fashion_headline_fh_71013/</t>
  </si>
  <si>
    <t>woman.excite</t>
  </si>
  <si>
    <t>https://woman.excite.co.jp/article/lifestyle/rid_Fashion_headline_71013/</t>
  </si>
  <si>
    <t>ウィメンズオンリーのセレクトショップ Forget-me-notsが代官山にオープン</t>
  </si>
  <si>
    <t>https://fnmnl.tv/2021/02/14/117750</t>
  </si>
  <si>
    <t>EX-TRAIN</t>
  </si>
  <si>
    <t>メディア・エージェンシー有限責任事業組合</t>
  </si>
  <si>
    <t>ウェアラブルエレクトロニクス市場規模20212028年までの最近の動向、業界シェア、トレンド、需要、収益、主要な調査結果、最新技術、業界拡大戦略で急速に成長</t>
  </si>
  <si>
    <t>http://www.extrain.info/2021/02/14/%E3%82%A6%E3%82%A7%E3%82%A2%E3%83%A9%E3%83%96%E3%83%AB%E3%82%A8%E3%83%AC%E3%82%AF%E3%83%88%E3%83%AD%E3%83%8B%E3%82%AF%E3%82%B9%E5%B8%82%E5%A0%B4%E8%A6%8F%E6%A8%A120212028%E5%B9%B4%E3%81%BE%E3%81%A7/</t>
  </si>
  <si>
    <t>繊研新聞</t>
  </si>
  <si>
    <t>株式会社繊研新聞社</t>
  </si>
  <si>
    <t>オン・ジャパン駒田博紀代表　競技ファンと共に輪を広げる</t>
  </si>
  <si>
    <t>https://senken.co.jp/posts/person-on-japan</t>
  </si>
  <si>
    <t>お洒落セレブが魅せた、 “エアジョーダン”の大人らしい合わせ方！</t>
  </si>
  <si>
    <t>https://safarilounge.jp/online/celeb/detail.php?id=6795</t>
  </si>
  <si>
    <t>https://safarilounge.jp/online/fashion/detail.php?id=6795</t>
  </si>
  <si>
    <t>Oggi.jp</t>
  </si>
  <si>
    <t>株式会社小学館</t>
  </si>
  <si>
    <t>グレーコーデはハイテクスニーカーでスパイスを！＜高木千智さんのリアルコーデ＞</t>
  </si>
  <si>
    <t>https://oggi.jp/6422158</t>
  </si>
  <si>
    <t>ケプカが手放せない1本。長年愛用の3番アイアン「ナイキ ヴェイパーフライプロ」ってどんなクラブ？</t>
  </si>
  <si>
    <t>https://www.msn.com/ja-jp/sports/golf/%E3%82%B1%E3%83%97%E3%82%AB%E3%81%8C%E6%89%8B%E6%94%BE%E3%81%9B%E3%81%AA%E3%81%841%E6%9C%AC%E3%80%82%E9%95%B7%E5%B9%B4%E6%84%9B%E7%94%A8%E3%81%AE3%E7%95%AA%E3%82%A2%E3%82%A4%E3%82%A2%E3%83%B3%E3%80%8C%E3%83%8A%E3%82%A4%E3%82%AD-%E3%83%B4%E3%82%A7%E3%82%A4%E3%83%91%E3%83%BC%E3%83%95%E3%83%A9%E3%82%A4%E3%83%97%E3%83%AD%E3%80%8D%E3%81%A3%E3%81%A6%E3%81%A9%E3%82%93%E3%81%AA%E3%82%AF%E3%83%A9%E3%83%96%EF%BC%9F/ar-BB1dBVVi</t>
  </si>
  <si>
    <t>コンバース新作、NASAの宇宙服をモチーフにしたオールスター 100発売</t>
  </si>
  <si>
    <t>https://www.excite.co.jp/news/article/Fashionsnap_article_2021-02-14_converse-nasa/</t>
  </si>
  <si>
    <t>GDO</t>
  </si>
  <si>
    <t>株式会社ゴルフダイジェスト・オンライン</t>
  </si>
  <si>
    <t>ジョーダン・コレクター ゴミ箱から始まったパット・ペレスと“神様”との物語</t>
  </si>
  <si>
    <t>https://news.golfdigest.co.jp/news/pgatorgnl/pga/article/134857/1/?car=fromNewsSearch</t>
  </si>
  <si>
    <t>https://news.golfdigest.co.jp/news/pgatorgnl/pga/article/134857/1/</t>
  </si>
  <si>
    <t>https://news.golfdigest.co.jp/news/pgatorgnl/pga/article/134857/1/?car=ranking_sidenavi_realtimeAll</t>
  </si>
  <si>
    <t>goo ニュース</t>
  </si>
  <si>
    <t>エヌ・ティ・ティレゾナント株式会社</t>
  </si>
  <si>
    <t>https://news.goo.ne.jp/article/gdo/sports/gdo-134860-1.html</t>
  </si>
  <si>
    <t>https://news.line.me/issue/oa-gdonews/qnbl9q9tplr4</t>
  </si>
  <si>
    <t>dメニュー</t>
  </si>
  <si>
    <t>株式会社NTTドコモ</t>
  </si>
  <si>
    <t>ジョーダン・コレクター ゴミ箱から始まったパット・ペレスと“神様”との物語（GDO）44歳のパット・ペレスはPGAツアーで3勝の実…</t>
  </si>
  <si>
    <t>http://topics.smt.docomo.ne.jp/article/gdo/sports/gdo-134860-1?fm=latestnews</t>
  </si>
  <si>
    <t>スニーカー愛が止まらない！ Vol.1 タカコ ノエル</t>
  </si>
  <si>
    <t>https://news.line.me/issue/oa-ginza/b1h5z7p66x2b</t>
  </si>
  <si>
    <t>バドミントン　最高峰のプレーに歓声</t>
  </si>
  <si>
    <t>https://news.yahoo.co.jp/articles/cb1dfd8053449443ffcb05e7624aec76816c31f4</t>
  </si>
  <si>
    <t>BeFashion</t>
  </si>
  <si>
    <t>パレス スケートボード、スタンスミスやアリス・クーパーとのコラボ発表</t>
  </si>
  <si>
    <t>http://fashion.hanarekojima.com/%E3%83%91%E3%83%AC%E3%82%B9-%E3%82%B9%E3%82%B1%E3%83%BC%E3%83%88%E3%83%9C%E3%83%BC%E3%83%89%E3%80%81%E3%82%B9%E3%82%BF%E3%83%B3%E3%82%B9%E3%83%9F%E3%82%B9%E3%82%84%E3%82%A2%E3%83%AA%E3%82%B9%E3%83%BB/</t>
  </si>
  <si>
    <t>ぶよぶよのお腹、ぼーぼーの脇毛。彼は私のありのままを好きだと言ってくれる</t>
  </si>
  <si>
    <t>https://news.line.me/articles/oa-rp13382/7fac9771e267</t>
  </si>
  <si>
    <t>かがみよかがみ</t>
  </si>
  <si>
    <t>株式会社朝日新聞社</t>
  </si>
  <si>
    <t>https://mirror.asahi.com/article/14184502</t>
  </si>
  <si>
    <t>グノシー</t>
  </si>
  <si>
    <t>株式会社Gunosy</t>
  </si>
  <si>
    <t>https://gunosy.com/articles/eb6s8</t>
  </si>
  <si>
    <t>TRILL</t>
  </si>
  <si>
    <t>TRILL株式会社</t>
  </si>
  <si>
    <t>フリースタイルフットボーラー・Yoの“バディ”：ボールと〈痲〉</t>
  </si>
  <si>
    <t>https://trilltrill.jp/articles/1792336</t>
  </si>
  <si>
    <t>プリーツスカートを今から春まで着倒す方法教えます！</t>
  </si>
  <si>
    <t>https://news.yahoo.co.jp/articles/436bc4dffec597ce3fc96160101d3fe80709e86b</t>
  </si>
  <si>
    <t>マキシスカートが普段着に！楽でキレイなとろみデザイン5選｜VERY</t>
  </si>
  <si>
    <t>https://news.yahoo.co.jp/articles/fc08db7c4058bd86587a164a4ee4b1fcf93aebf7</t>
  </si>
  <si>
    <t>メッシが「644」ゴール目記録のスパイクを地元美術館に寄贈…4月にチャリティオークションへ</t>
  </si>
  <si>
    <t>https://news.line.me/issue/oa-soccerking/g7dmy2b9oa00</t>
  </si>
  <si>
    <t>SOCCER KING</t>
  </si>
  <si>
    <t>株式会社フロムワン</t>
  </si>
  <si>
    <t>https://www.soccer-king.jp/news/world/esp/20210212/1183770.html?cx_news=page3</t>
  </si>
  <si>
    <t>現代ビジネス</t>
  </si>
  <si>
    <t>株式会社講談社</t>
  </si>
  <si>
    <t>ゆりやんレトリィバァ「故郷の再生と子どもたちの未来を応援したい」</t>
  </si>
  <si>
    <t>https://gendai.ismedia.jp/articles/-/80132?media=frau</t>
  </si>
  <si>
    <t>https://gendai.ismedia.jp/articles/-/80132</t>
  </si>
  <si>
    <t>Kirei Style</t>
  </si>
  <si>
    <t>株式会社ビズキ</t>
  </si>
  <si>
    <t>ヨネックス、歩きやすさが進化したウォーキングシューズ「LC114（女性用）」と「MC114（男性用）」を発売</t>
  </si>
  <si>
    <t>https://kireistyle-woman.com/news/life/contents/304103</t>
  </si>
  <si>
    <t>ランニングタイツ【メンズ用】のおすすめ人気１３選！効果や選び方をご紹介！</t>
  </si>
  <si>
    <t>アディダス,ナイキ,NIKE</t>
  </si>
  <si>
    <t>https://kurashi-no.jp/I0023410</t>
  </si>
  <si>
    <t>@DIME</t>
  </si>
  <si>
    <t>レッドソックスのグッズが新入荷！ジャケットやパーカー、キャップまで多数入荷！</t>
  </si>
  <si>
    <t>https://dime.jp/company_news/detail/?pr=773268</t>
  </si>
  <si>
    <t>@nifty ビジネス</t>
  </si>
  <si>
    <t>https://business.nifty.com/cs/catalog/business_release/catalog_prt000000334000020320_1.htm</t>
  </si>
  <si>
    <t>All About NEWS</t>
  </si>
  <si>
    <t>株式会社オールアバウト</t>
  </si>
  <si>
    <t>https://news.allabout.co.jp/articles/p/000000334.000020320/</t>
  </si>
  <si>
    <t>BEST TIMES</t>
  </si>
  <si>
    <t>株式会社ベストセラーズ</t>
  </si>
  <si>
    <t>https://www.kk-bestsellers.com/articles/-/press_release/833859/</t>
  </si>
  <si>
    <t>BIGLOBEニュース</t>
  </si>
  <si>
    <t>ビッグローブ株式会社</t>
  </si>
  <si>
    <t>https://news.biglobe.ne.jp/economy/0214/prt_210214_0657210308.html</t>
  </si>
  <si>
    <t>BtoBプラットフォーム</t>
  </si>
  <si>
    <t>株式会社インフォマート</t>
  </si>
  <si>
    <t>https://b2b-ch.infomart.co.jp/news/detail.page?IMNEWS4=2406222</t>
  </si>
  <si>
    <t>Cubeニュース</t>
  </si>
  <si>
    <t>株式会社キューブ・ソフト</t>
  </si>
  <si>
    <t>https://news.cube-soft.jp/release/730196</t>
  </si>
  <si>
    <t>https://www.excite.co.jp/news/article/Prtimes_2021-02-14-20320-334/</t>
  </si>
  <si>
    <t>https://news.infoseek.co.jp/article/prtimes_000000334_000020320/</t>
  </si>
  <si>
    <t>JBPRESS</t>
  </si>
  <si>
    <t>株式会社日本ビジネスプレス</t>
  </si>
  <si>
    <t>https://jbpress.ismedia.jp/ud/pressrelease/602887fd77656149fb090000</t>
  </si>
  <si>
    <t>https://news.line.me/articles/oa-rp31535/f64d3d492ed7</t>
  </si>
  <si>
    <t>https://www.mapion.co.jp/news/release/000000334.000020320-all/</t>
  </si>
  <si>
    <t>NewsCafe</t>
  </si>
  <si>
    <t>株式会社イード</t>
  </si>
  <si>
    <t>https://www.newscafe.ne.jp/release/prtimes2/20210214/642045.html</t>
  </si>
  <si>
    <t>ORICON NEWS</t>
  </si>
  <si>
    <t>オリコン株式会社</t>
  </si>
  <si>
    <t>http://www.oricon.co.jp/pressrelease/819896/</t>
  </si>
  <si>
    <t>STRAIGHT PRESS</t>
  </si>
  <si>
    <t>株式会社マッシュメディア</t>
  </si>
  <si>
    <t>https://straightpress.jp/company_news/detail?pr=000000334.000020320</t>
  </si>
  <si>
    <t>イザ！</t>
  </si>
  <si>
    <t>株式会社産経デジタル</t>
  </si>
  <si>
    <t>http://www.iza.ne.jp/kiji/pressrelease/news/210214/prl21021411090014-n1.html</t>
  </si>
  <si>
    <t>ウレぴあ総研</t>
  </si>
  <si>
    <t>ぴあ株式会社</t>
  </si>
  <si>
    <t>https://ure.pia.co.jp/articles/-/953918</t>
  </si>
  <si>
    <t>ジョルダンニュース！</t>
  </si>
  <si>
    <t>ジョルダン株式会社</t>
  </si>
  <si>
    <t>https://news.jorudan.co.jp/docs/news/detail.cgi?newsid=PT000334A000020320</t>
  </si>
  <si>
    <t>とれまがニュース</t>
  </si>
  <si>
    <t>株式会社サイトスコープ</t>
  </si>
  <si>
    <t>https://news.toremaga.com/release/others/1780443.html</t>
  </si>
  <si>
    <t>ニコニコニュース</t>
  </si>
  <si>
    <t>株式会社ドワンゴ</t>
  </si>
  <si>
    <t>https://news.nicovideo.jp/watch/nw8937235</t>
  </si>
  <si>
    <t>時事ドットコム</t>
  </si>
  <si>
    <t>株式会社時事通信社</t>
  </si>
  <si>
    <t>https://www.jiji.com/jc/article?g=prt&amp;k=000000334.000020320</t>
  </si>
  <si>
    <t>朝日新聞デジタル＆M</t>
  </si>
  <si>
    <t>https://www.asahi.com/and_M/pressrelease/pre_23540158/</t>
  </si>
  <si>
    <t>東洋経済 ONLINE</t>
  </si>
  <si>
    <t>株式会社東洋経済新報社</t>
  </si>
  <si>
    <t>https://toyokeizai.net/ud/pressrelease/60288c107765618fcc150000</t>
  </si>
  <si>
    <t>https://gendai.ismedia.jp/ud/pressrelease/60288c0e7765618e9d170000</t>
  </si>
  <si>
    <t>産経ニュース</t>
  </si>
  <si>
    <t>https://www.sankei.com/economy/news/210214/prl2102140015-n1.html</t>
  </si>
  <si>
    <t>読売新聞オンライン</t>
  </si>
  <si>
    <t>株式会社読売新聞グループ本社</t>
  </si>
  <si>
    <t>https://yab.yomiuri.co.jp/adv/feature/release/detail/000000334000020320.html</t>
  </si>
  <si>
    <t>財経新聞</t>
  </si>
  <si>
    <t>株式会社財経新聞社</t>
  </si>
  <si>
    <t>https://www.zaikei.co.jp/releases/1217210/</t>
  </si>
  <si>
    <t>Number Web</t>
  </si>
  <si>
    <t>株式会社文藝春秋</t>
  </si>
  <si>
    <t>レッドソックスのグッズが新入荷！ジャケットやパーカー、キャップまで多数入荷！ [PR]</t>
  </si>
  <si>
    <t>https://number.bunshun.jp/ud/pressrelease/60288ba277656123fc060000</t>
  </si>
  <si>
    <t>今春東洋大進学の世代トップランナーが見据える「箱根の頂」の先「上を見続ける」</t>
  </si>
  <si>
    <t>https://news.goo.ne.jp/article/nishinippon_nsp/sports/nishinippon_nsp-2000692748.html</t>
  </si>
  <si>
    <t>https://www.msn.com/ja-jp/sports/other/%E4%BB%8A%E6%98%A5%E6%9D%B1%E6%B4%8B%E5%A4%A7%E9%80%B2%E5%AD%A6%E3%81%AE%E4%B8%96%E4%BB%A3%E3%83%88%E3%83%83%E3%83%97%E3%83%A9%E3%83%B3%E3%83%8A%E3%83%BC%E3%81%8C%E8%A6%8B%E6%8D%AE%E3%81%88%E3%82%8B%E3%80%8C%E7%AE%B1%E6%A0%B9%E3%81%AE%E9%A0%82%E3%80%8D%E3%81%AE%E5%85%88%E3%80%8C%E4%B8%8A%E3%82%92%E8%A6%8B%E7%B6%9A%E3%81%91%E3%82%8B%E3%80%8D/ar-BB1dEAkT</t>
  </si>
  <si>
    <t>西日本スポーツ</t>
  </si>
  <si>
    <t>株式会社西日本新聞社</t>
  </si>
  <si>
    <t>https://www.nishinippon.co.jp/nsp/item/n/692748/</t>
  </si>
  <si>
    <t>今春東洋大進学の世代トップランナーが見据える「箱根の頂」の先「上を見続ける」（西日本スポーツ）　陸上男子5000メートルの高校記録を2回塗り…</t>
  </si>
  <si>
    <t>http://topics.smt.docomo.ne.jp/article/nishinippon_nsp/sports/nishinippon_nsp-2000692748?fm=latestnews</t>
  </si>
  <si>
    <t>non-no Web</t>
  </si>
  <si>
    <t>株式会社集英社</t>
  </si>
  <si>
    <t>先週の人気記事ランキング｜WEEKLY TOP 10【２月７日～２月13日】</t>
  </si>
  <si>
    <t>https://nonno.hpplus.jp/article/65627</t>
  </si>
  <si>
    <t>冬の足元に抜け感を。白スニーカーを選んだ、大人の正解冬コーデ5選</t>
  </si>
  <si>
    <t>https://news.yahoo.co.jp/articles/9908c7deca99193811394502a0d1fa9a29823a6d</t>
  </si>
  <si>
    <t>大勝バルサ「ゲームの世界」にいた『絶好調』メッシに最高評価</t>
  </si>
  <si>
    <t>https://news.goo.ne.jp/article/sportes/sports/sportes-35087.html</t>
  </si>
  <si>
    <t>https://news.line.me/articles/oa-rp62097/f3ab5bb0d18a</t>
  </si>
  <si>
    <t>livedoor</t>
  </si>
  <si>
    <t>https://news.livedoor.com/article/detail/19694292/</t>
  </si>
  <si>
    <t>https://gunosy.com/articles/eQlOW</t>
  </si>
  <si>
    <t>スポーツブル</t>
  </si>
  <si>
    <t>株式会社運動通信社</t>
  </si>
  <si>
    <t>大勝バルサ「ゲームの世界」にいた『絶好調』メッシに最高評価 | サッカー | スポーツブル (スポブル)</t>
  </si>
  <si>
    <t>https://sportsbull.jp/p/949795/</t>
  </si>
  <si>
    <t>大勝バルサ「ゲームの世界」にいた『絶好調』メッシに最高評価（SPORT.es スポルト）FCバルセロナは、チャンピオンズリーグのパ…</t>
  </si>
  <si>
    <t>http://topics.smt.docomo.ne.jp/article/sportes/sports/sportes-35087?fm=latestnews</t>
  </si>
  <si>
    <t>小2男子に聞いてみた！ママの【黒ファッション】って、本当のところどうですか？</t>
  </si>
  <si>
    <t>https://news.line.me/issue/oa-domani828/c527ylnbovj6</t>
  </si>
  <si>
    <t>INSIGHT NOW!</t>
  </si>
  <si>
    <t>南青山インサイト株式会社</t>
  </si>
  <si>
    <t>就活生にとって厳しい状況は続くが、50年稼げる自分をつくっていこう</t>
  </si>
  <si>
    <t>https://www.insightnow.jp/article/11140</t>
  </si>
  <si>
    <t>就活生にとって厳しい状況は続くが、50年稼げる自分をつくっていこう／猪口 真</t>
  </si>
  <si>
    <t>https://news.livedoor.com/article/detail/19693871/</t>
  </si>
  <si>
    <t>https://news.nicovideo.jp/watch/nw8936833</t>
  </si>
  <si>
    <t>47NEWS</t>
  </si>
  <si>
    <t>株式会社全国新聞ネット</t>
  </si>
  <si>
    <t>戦う姿勢に大きな拍手　バド・チアフル鳥取が試合</t>
  </si>
  <si>
    <t>https://www.47news.jp/localnews/5846061.html</t>
  </si>
  <si>
    <t>Net Nihonkai</t>
  </si>
  <si>
    <t>株式会社新日本海新聞社</t>
  </si>
  <si>
    <t>https://www.nnn.co.jp/news/210214/20210214004.html</t>
  </si>
  <si>
    <t>HAPPY PLUS ONE</t>
  </si>
  <si>
    <t>春に向けて買い逃し注意！ 便利すぎる白スニーカー＆ローファー</t>
  </si>
  <si>
    <t>https://one.hpplus.jp/lee/132629</t>
  </si>
  <si>
    <t>LEE</t>
  </si>
  <si>
    <t>https://lee.hpplus.jp/column/1882957/</t>
  </si>
  <si>
    <t>暗くなった渋谷の街を明るくしたい！“ボタンフラワー”でお花見しよう！SHUN SUDOのアートが西武渋谷店に登場</t>
  </si>
  <si>
    <t>https://www.mapion.co.jp/news/release/000000772.000031382-all/</t>
  </si>
  <si>
    <t>ラジサマリー</t>
  </si>
  <si>
    <t>有吉弘行、筧美和子の口を「ナイキのマークみたい」「ひん曲がってた感じ」などと発言</t>
  </si>
  <si>
    <t>https://radsum.com/archives/27618</t>
  </si>
  <si>
    <t>Fresh eye</t>
  </si>
  <si>
    <t>デジアナコミュニケーションズ株式会社</t>
  </si>
  <si>
    <t>株式会社セレクション・インターナショナルレッドソックスのグッズが新入荷！ジャケットやパーカー、キャップまで多数入荷！</t>
  </si>
  <si>
    <t>https://news.fresheye.com/article/fenwnews2/1000003/20210213183927_pr_pr000000334-000020320/a/index.html</t>
  </si>
  <si>
    <t>株式会社そごう・西武暗くなった渋谷の街を明るくしたい！“ボタンフラワー”でお花見しよう！SHUN SUDOのアートが西武渋谷店に登場</t>
  </si>
  <si>
    <t>https://news.fresheye.com/article/fenwnews2/1000003/20210212194504_pr_pr000000772-000031382/a/index.html</t>
  </si>
  <si>
    <t>極少パーツ＆極薄アッパーで実現した軽さはなんと片足199g！</t>
  </si>
  <si>
    <t>https://news.nifty.com/article/item/neta/12261-964671/</t>
  </si>
  <si>
    <t>&amp;GP</t>
  </si>
  <si>
    <t>株式会社徳間書店</t>
  </si>
  <si>
    <t>https://www.goodspress.jp/news/353512/</t>
  </si>
  <si>
    <t>auヘッドライン</t>
  </si>
  <si>
    <t>KDDI株式会社、株式会社テレビ朝日、株式会社朝日新聞社</t>
  </si>
  <si>
    <t>https://news.headlines.auone.jp/stories/series/general/14190183</t>
  </si>
  <si>
    <t>https://news.infoseek.co.jp/article/goodspress_353512</t>
  </si>
  <si>
    <t>https://news.infoseek.co.jp/article/goodspress_353512/</t>
  </si>
  <si>
    <t>IT NEWS</t>
  </si>
  <si>
    <t>https://news.minory.org/304374.html</t>
  </si>
  <si>
    <t>https://news.livedoor.com/article/detail/19696526/</t>
  </si>
  <si>
    <t>ソトシル</t>
  </si>
  <si>
    <t>株式会社スペースキー</t>
  </si>
  <si>
    <t>独占取材【アディダス】「ULTRABOOST 21」は反発性がアップしたエナジーみなぎるランニングシューズ</t>
  </si>
  <si>
    <t>https://sotoshiru.com/articles/120393</t>
  </si>
  <si>
    <t>au Webポータル</t>
  </si>
  <si>
    <t>KDDI株式会社、株式会社mediba</t>
  </si>
  <si>
    <t>現代アート会員権サービス「ANDART」がオーナー間取引の作品ラインナップを拡充</t>
  </si>
  <si>
    <t>https://article.auone.jp/detail/1/1/1/51_1_r_20210213_1613225261895341</t>
  </si>
  <si>
    <t>https://www.excite.co.jp/news/article/Ignite_246201/</t>
  </si>
  <si>
    <t>めるも</t>
  </si>
  <si>
    <t>GMOアドマーケティング株式会社</t>
  </si>
  <si>
    <t>https://news.merumo.ne.jp/article/genre/10467854</t>
  </si>
  <si>
    <t>2021/02/13</t>
  </si>
  <si>
    <t>Tarzan</t>
  </si>
  <si>
    <t>株式会社マガジンハウス</t>
  </si>
  <si>
    <t>「このボールとシューズなら、圧倒的プレーを追求できる」フリースタイルフットボーラー・Yo</t>
  </si>
  <si>
    <t>https://tarzanweb.jp/post-227631</t>
  </si>
  <si>
    <t>https://news.headlines.auone.jp/stories/topics/story/14187566</t>
  </si>
  <si>
    <t>https://news.biglobe.ne.jp/trend/0213/huf_210213_0508014182.html</t>
  </si>
  <si>
    <t>https://news.goo.ne.jp/article/huffingtonpost/entertainment/huffingtonpost-602763f9c5b6d667582cf630.html</t>
  </si>
  <si>
    <t>https://news.goo.ne.jp/picture/entertainment/huffingtonpost-602763f9c5b6d667582cf630.html</t>
  </si>
  <si>
    <t>NEWS Collect</t>
  </si>
  <si>
    <t>https://newscollect.jp/article/?id=733245827704553472</t>
  </si>
  <si>
    <t>https://newscollect.jp/article/?id=733245827704553472&amp;tid=9</t>
  </si>
  <si>
    <t>NewsPicks</t>
  </si>
  <si>
    <t>株式会社ニューズピックス</t>
  </si>
  <si>
    <t>https://m.newspicks.com/news/5614927</t>
  </si>
  <si>
    <t>https://newspicks.com/news/5614927</t>
  </si>
  <si>
    <t>Topic Press</t>
  </si>
  <si>
    <t>株式会社ユナイテッドミューズ</t>
  </si>
  <si>
    <t>https://tpcprs.com/100673/</t>
  </si>
  <si>
    <t>ハフィントンポスト</t>
  </si>
  <si>
    <t>ザ・ハフィントン・ポスト・ジャパン株式会社</t>
  </si>
  <si>
    <t>https://www.huffingtonpost.jp/entry/story_jp_602763f9c5b6d667582cf630</t>
  </si>
  <si>
    <t>https://www.huffingtonpost.jp/entry/story_jp_602763f9c5b6d667582cf630?utm_hp_ref=jp-sdgs</t>
  </si>
  <si>
    <t>https://www.huffingtonpost.jp/entry/story_jp_602763f9c5b6d667582cf630?ncid=other_trending_qeesnbnu0l8&amp;utm_campaign=trending</t>
  </si>
  <si>
    <t>「スタンスミス」がサステナブルへ進化した。アディダスが定番スニーカーを「変えた」理由（ハフポスト日本版）テニス選手であるスタン・スミスの名を冠し…</t>
  </si>
  <si>
    <t>http://topics.smt.docomo.ne.jp/article/huffingtonpost/entertainment/huffingtonpost-602763f9c5b6d667582cf630?fm=latestnews</t>
  </si>
  <si>
    <t>ゴルフサプリ</t>
  </si>
  <si>
    <t>株式会社Matto</t>
  </si>
  <si>
    <t>【2021】女子プロのドライバーショットは上達の宝庫だ!!＜PART3＞曲がらないドライバーのヒント</t>
  </si>
  <si>
    <t>https://golfsapuri.com/article/10004700</t>
  </si>
  <si>
    <t>【2021春コーデ】スウェットパンツを着回し！楽なのが嬉しい綺麗めカジュアルコーデ6</t>
  </si>
  <si>
    <t>https://news.yahoo.co.jp/articles/5200a57e8782dec5a8be574216c5632efd65b27c</t>
  </si>
  <si>
    <t>goo グルメ＆料理</t>
  </si>
  <si>
    <t>【GU】小顔効果バツグン！人気メンズセーターを使った着回し3コーデ</t>
  </si>
  <si>
    <t>https://gourmet.goo.ne.jp/news/article/145784/</t>
  </si>
  <si>
    <t>https://news.goo.ne.jp/article/bgmania/trend/bgmania-380733.html</t>
  </si>
  <si>
    <t>https://news.livedoor.com/article/detail/19689760/</t>
  </si>
  <si>
    <t>https://gunosy.com/articles/ehsa3</t>
  </si>
  <si>
    <t>https://news.nicovideo.jp/watch/nw8932953</t>
  </si>
  <si>
    <t>東京バーゲンマニア</t>
  </si>
  <si>
    <t>株式会社ジェイ･キャスト</t>
  </si>
  <si>
    <t>https://bg-mania.jp/2021/02/13380733.html</t>
  </si>
  <si>
    <t>【GU】小顔効果バツグン！人気メンズセーターを使った着回し3コーデ（東京バーゲンマニア） まだまだ寒い日が続きますね。 今日ご紹…</t>
  </si>
  <si>
    <t>http://topics.smt.docomo.ne.jp/article/bgmania/trend/bgmania-380733?fm=latestnews</t>
  </si>
  <si>
    <t>JJnet</t>
  </si>
  <si>
    <t>株式会社光文社</t>
  </si>
  <si>
    <t>【weekly JJ SNAP vol.2】TVでも話題になったオシャレ起業家カップルの私服</t>
  </si>
  <si>
    <t>https://jj-jj.net/fashion/138031/</t>
  </si>
  <si>
    <t>magacol</t>
  </si>
  <si>
    <t>https://magacol.jp/2021/02/13/423837.html</t>
  </si>
  <si>
    <t>note</t>
  </si>
  <si>
    <t>株式会社ピースオブケイク</t>
  </si>
  <si>
    <t>【セノバス+ STORY】ロゴ・パッケージデザインの話</t>
  </si>
  <si>
    <t>https://note.com/senobas/n/ne365a9815d18</t>
  </si>
  <si>
    <t>MAQUIA ONLINE</t>
  </si>
  <si>
    <t>【前編】スキマ時間に無理なく続けられる！おうちトレーニングにおすすめ「オンラインレッスン」</t>
  </si>
  <si>
    <t>https://maquia.hpplus.jp/blog/yukina_maquia/57381/</t>
  </si>
  <si>
    <t>MEN'S NON-NO WEB</t>
  </si>
  <si>
    <t>【回しの達人・自慢のヘビロテ服】メンズノンノモデル岸本ルークのカルチャーを感じるネルチェックシャツ</t>
  </si>
  <si>
    <t>https://www.mensnonno.jp/post/71922/</t>
  </si>
  <si>
    <t>【最新】お台場のアウトドアショップ7選！キャンプ用品が充実の大型・専門店も！</t>
  </si>
  <si>
    <t>https://kurashi-no.jp/I0039147</t>
  </si>
  <si>
    <t>【東急SレイエスFC】レイエスオリジナルグッズ新商品発売！</t>
  </si>
  <si>
    <t>https://www.excite.co.jp/news/article/Prtimes_2021-02-12-59271-58/</t>
  </si>
  <si>
    <t>SNKRDUNK</t>
  </si>
  <si>
    <t>株式会社SODA</t>
  </si>
  <si>
    <t>【販売リンクあり】2/15発売 NIKE LEBRON XVIII LOW "FIREBERRY" 抽選/定価/販売店舗まとめ</t>
  </si>
  <si>
    <t>https://snkrdunk.com/articles/10220/</t>
  </si>
  <si>
    <t>【販売リンクあり】2/17発売 ADIDAS FORUM 84 LOW OG "BRIGHT BLUE" 抽選/定価/販売店舗まとめ</t>
  </si>
  <si>
    <t>https://snkrdunk.com/articles/10219/</t>
  </si>
  <si>
    <t>【超人気占い師・星ひとみさんアドバイス付き】ブームの“神社リトリート”は、運気の上がるコーデで ！</t>
  </si>
  <si>
    <t>https://magacol.jp/2021/02/13/423774.html</t>
  </si>
  <si>
    <t>STORY</t>
  </si>
  <si>
    <t>https://storyweb.jp/fashion/148303/</t>
  </si>
  <si>
    <t>キナリノ</t>
  </si>
  <si>
    <t>株式会社カカクコム</t>
  </si>
  <si>
    <t>2021年版「ハイテクスニーカー」おすすめブランド＆スタイル別コーデ術</t>
  </si>
  <si>
    <t>https://kinarino.jp/cat1-%E3%83%95%E3%82%A1%E3%83%83%E3%82%B7%E3%83%A7%E3%83%B3/42358-2021%E5%B9%B4%E7%89%88%E3%80%8C%E3%83%8F%E3%82%A4%E3%83%86%E3%82%AF%E3%82%B9%E3%83%8B%E3%83%BC%E3%82%AB%E3%83%BC%E3%80%8D%E3%81%8A%E3%81%99%E3%81%99%E3%82%81%E3%83%96%E3%83%A9%E3%83%B3%E3%83%89%EF%BC%86%E3%82%B9%E3%82%BF%E3%82%A4%E3%83%AB%E5%88%A5%E3%82%B3%E3%83%BC%E3%83%87%E8%A1%93?lid=top_footer_in_feed</t>
  </si>
  <si>
    <t>https://kinarino.jp/cat1-%E3%83%95%E3%82%A1%E3%83%83%E3%82%B7%E3%83%A7%E3%83%B3/42358-2021%E5%B9%B4%E7%89%88%E3%80%8C%E3%83%8F%E3%82%A4%E3%83%86%E3%82%AF%E3%82%B9%E3%83%8B%E3%83%BC%E3%82%AB%E3%83%BC%E3%80%8D%E3%81%8A%E3%81%99%E3%81%99%E3%82%81%E3%83%96%E3%83%A9%E3%83%B3%E3%83%89%EF%BC%86%E3%82%B9%E3%82%BF%E3%82%A4%E3%83%AB%E5%88%A5%E3%82%B3%E3%83%BC%E3%83%87%E8%A1%93?lid=top_middle_in_feed</t>
  </si>
  <si>
    <t>https://kinarino.jp/cat1-%E3%83%95%E3%82%A1%E3%83%83%E3%82%B7%E3%83%A7%E3%83%B3/42358-2021%E5%B9%B4%E7%89%88%E3%80%8C%E3%83%8F%E3%82%A4%E3%83%86%E3%82%AF%E3%82%B9%E3%83%8B%E3%83%BC%E3%82%AB%E3%83%BC%E3%80%8D%E3%81%8A%E3%81%99%E3%81%99%E3%82%81%E3%83%96%E3%83%A9%E3%83%B3%E3%83%89%EF%BC%86%E3%82%B9%E3%82%BF%E3%82%A4%E3%83%AB%E5%88%A5%E3%82%B3%E3%83%BC%E3%83%87%E8%A1%93?lid=top_select_in_feed</t>
  </si>
  <si>
    <t>atmosより、過去のNIKE AIR MAXの名作をデザインに落とし込んだ最新作「NIKE VAPOR MAX EVO NRG」が発売。</t>
  </si>
  <si>
    <t>https://news.line.me/articles/oa-rp31535/725f92926d38</t>
  </si>
  <si>
    <t>HYPEBEAST</t>
  </si>
  <si>
    <t>HBX</t>
  </si>
  <si>
    <t>Awake NY と黒人女性写真家 シャニクワ・ジャービスとのコラボアイテムがリリース</t>
  </si>
  <si>
    <t>https://hypebeast.com/jp/2021/2/awake-ny-shaniqwa-jarvis-collaboration-tee-shirt-tote-bag</t>
  </si>
  <si>
    <t>https://news.line.me/articles/oa-rp96641/76029d4d2a09</t>
  </si>
  <si>
    <t>Facebook、AndroidOS搭載スマートウォッチを開発中か。セルラー通信対応でメッセージ送信機能や健康機能を搭載</t>
  </si>
  <si>
    <t>https://corriente.top/facebook-smartwatch-2022/</t>
  </si>
  <si>
    <t>Droptokyo</t>
  </si>
  <si>
    <t>株式会社ウィークデー</t>
  </si>
  <si>
    <t>GENKI – KANSAI</t>
  </si>
  <si>
    <t>https://droptokyo.com/freshsnaps/ID/?id=285447</t>
  </si>
  <si>
    <t>Business Wire</t>
  </si>
  <si>
    <t>ビジネスワイヤ・ジャパン株式会社</t>
  </si>
  <si>
    <t>InVision Adds 2M Users and Sets the Foundation for Expansive Growth as Digital Collaboration Becomes an Enterprise Requirement</t>
  </si>
  <si>
    <t>https://www.businesswire.com/news/home/20210212005420/en/InVision-Adds-2M-Users-and-Sets-the-Foundation-for-Expansive-Growth-as-Digital-Collaboration-Becomes-an-Enterprise-Requirement</t>
  </si>
  <si>
    <t>Kevin Hart's personal shopper charged with stealing $1.2 million</t>
  </si>
  <si>
    <t>https://this.kiji.is/733097099575525376</t>
  </si>
  <si>
    <t>バスケットボールキング</t>
  </si>
  <si>
    <t>NBAで最も稼いでいる選手は誰だ！　Forbesが2021年の高給取りランキングを発表</t>
  </si>
  <si>
    <t>https://basketballking.jp/news/world/nba/20210212/307870.html?cx_news=page3</t>
  </si>
  <si>
    <t>https://basketballking.jp/news/world/nba/20210212/307870.html?cx_news=rankingall</t>
  </si>
  <si>
    <t>https://basketballking.jp/news/world/nba/20210212/307870.html?cx_top=rankingall</t>
  </si>
  <si>
    <t>EYESCREAM</t>
  </si>
  <si>
    <t>株式会社スペースシャワーネットワーク</t>
  </si>
  <si>
    <t>NIKE AIR HUARACHE FOR STÜSSY とっておきのハラチがスウェットのセットアップと共に登場</t>
  </si>
  <si>
    <t>https://eyescream.jp/fashion/86057/</t>
  </si>
  <si>
    <t>NIKE AIR MAX ☆ カスタマイズ</t>
  </si>
  <si>
    <t>https://one.hpplus.jp/marisol/132521</t>
  </si>
  <si>
    <t>Marisol ONLINE</t>
  </si>
  <si>
    <t>NIKE AIR MAX ☆ カスタマイズ | ファッション誌Marisol(マリソル) ONLINE 40代をもっとキレイに。女っぷり上々！</t>
  </si>
  <si>
    <t>https://marisol.hpplus.jp/article/65851</t>
  </si>
  <si>
    <t>日本経済新聞</t>
  </si>
  <si>
    <t>株式会社日本経済新聞社</t>
  </si>
  <si>
    <t>NYダウ56ドル安　高値警戒感の売り、金利上昇も重荷</t>
  </si>
  <si>
    <t>https://www.nikkei.com/article/DGXZQOGN00001_T10C21A2000000/</t>
  </si>
  <si>
    <t>Yahoo! ファイナンス</t>
  </si>
  <si>
    <t>NY主要株価－BofA、ツイッター、シュルンベルジェ、GEが上昇　メーシーズ、デジタル・リアルティーが下落</t>
  </si>
  <si>
    <t>https://finance.yahoo.co.jp/news/detail/20210213-10000004-dzh-market</t>
  </si>
  <si>
    <t>トレーダーズ・ウェブ</t>
  </si>
  <si>
    <t>株式会社ＤＺＨフィナンシャルリサーチ</t>
  </si>
  <si>
    <t>https://www.traders.co.jp/news/news_top.asp?page=1&amp;newscode=1611621&amp;type=1&amp;filter=ALL&amp;n=#news_top</t>
  </si>
  <si>
    <t>NY市場概況－ダウ小幅反発し最高値更新　3指数がそろって2週続伸</t>
  </si>
  <si>
    <t>https://finance.yahoo.co.jp/news/detail/20210213-10000010-dzh-market</t>
  </si>
  <si>
    <t>SNAP50連発！ ”似合う”コーデの達人【Part2】</t>
  </si>
  <si>
    <t>https://news.yahoo.co.jp/articles/eb049103452fd8f92df4b5a670af762870023803</t>
  </si>
  <si>
    <t>Ceron</t>
  </si>
  <si>
    <t>株式会社クリエ14</t>
  </si>
  <si>
    <t>SNSで話題！ NIKE初の“手を使わない”スニーカー「ゴー フライイーズ」を実際に履いてみた。 | Vogue Japan</t>
  </si>
  <si>
    <t>https://ceron.jp/url/www.vogue.co.jp/fashion/article/nike-go-flyease</t>
  </si>
  <si>
    <t>StüssyとNIKEが今度はAIR HUARACHEをリリース</t>
  </si>
  <si>
    <t>https://fnmnl.tv/2021/02/13/118223</t>
  </si>
  <si>
    <t>Women's Health</t>
  </si>
  <si>
    <t>株式会社ハースト婦人画報社</t>
  </si>
  <si>
    <t>アクティブな春おしゃれの主役！　セレブのインスタから探る最旬スニーカースタイル</t>
  </si>
  <si>
    <t>https://www.womenshealthmag.com/jp/fashion/g35457558/active-spring-sneakers-20210213/</t>
  </si>
  <si>
    <t>アディダス オリジナルス「A-ZX」にザ・シンプソンズ“ピエロのクラスティ”をモチーフにした新作</t>
  </si>
  <si>
    <t>https://www.zaikei.co.jp/article/20210213/607847.html</t>
  </si>
  <si>
    <t>アディダスとメッシがカタルーニャ美術館に記念スパイクを寄贈</t>
  </si>
  <si>
    <t>https://news.line.me/articles/oa-rp62097/1ff2cbc2c8bc</t>
  </si>
  <si>
    <t>https://news.livedoor.com/article/detail/19690409/</t>
  </si>
  <si>
    <t>https://gunosy.com/articles/enjut</t>
  </si>
  <si>
    <t>アディダスとメッシがカタルーニャ美術館に記念スパイクを寄贈 | サッカー | スポーツブル (スポブル)</t>
  </si>
  <si>
    <t>https://sportsbull.jp/p/949158/</t>
  </si>
  <si>
    <t>アラサー女子が「ジャケットをカジュアルに着る」方法【スニーカーをはく】｜CLASSY.</t>
  </si>
  <si>
    <t>https://news.yahoo.co.jp/articles/6ee79fbdc00d14fd092c678d35c81e98bbdf9fbf</t>
  </si>
  <si>
    <t>ウィメンズオンリーのスニーカー・アパレルセレクトショップ「Forget-me-nots」が3月に代官山にオープン</t>
  </si>
  <si>
    <t>https://eyescream.jp/fashion/85991/</t>
  </si>
  <si>
    <t>お財布の紐は緩めましたか？ パレスのスプリングコレクションがドロップ</t>
  </si>
  <si>
    <t>https://news.line.me/issue/oa-HOUYHNHNM/ayfr52be748g</t>
  </si>
  <si>
    <t>HOUYHNHNM</t>
  </si>
  <si>
    <t>株式会社ライノ</t>
  </si>
  <si>
    <t>お財布の紐は緩めましたか？ パレスのスプリングコレクションがドロップ。</t>
  </si>
  <si>
    <t>https://www.houyhnhnm.jp/news/436363/</t>
  </si>
  <si>
    <t>ギフトの参考に！ 元K-1世界チャンピオン・魔裟斗さんの推しコスメ＆アイテム</t>
  </si>
  <si>
    <t>https://one.hpplus.jp/maquia/132561</t>
  </si>
  <si>
    <t>https://maquia.hpplus.jp/life/news/57227/</t>
  </si>
  <si>
    <t>ギフトの参考に！ 元K-1世界チャンピオン・魔裟斗さんの推しコスメ&amp;アイテム</t>
  </si>
  <si>
    <t>https://gunosy.com/articles/eehBw</t>
  </si>
  <si>
    <t>ケースティファイがルーヴル美術館とコラボ、モナ・リザなどをデザイン</t>
  </si>
  <si>
    <t>https://www.excite.co.jp/news/article/Fashionsnap_article_2021-02-12_casetify-louvre/</t>
  </si>
  <si>
    <t>VOGUE JAPAN</t>
  </si>
  <si>
    <t>合同会社コンデナスト・ジャパン</t>
  </si>
  <si>
    <t>サステナブルに生まれ変わった「スタンスミス」が新相棒！（Mayumi Numao）</t>
  </si>
  <si>
    <t>アディダス,NIKE</t>
  </si>
  <si>
    <t>https://www.vogue.co.jp/fashion/article/mayumi-numao-adidas-stansmith</t>
  </si>
  <si>
    <t>ソウルのおしゃれ男子をキャッチ！ ベリーショートな髪型が光る夏コーデスナップ</t>
  </si>
  <si>
    <t>https://www.mensnonno.jp/post/31457/</t>
  </si>
  <si>
    <t>ダウ平均は小幅安での推移が続く＝米国株後半</t>
  </si>
  <si>
    <t>https://finance.yahoo.co.jp/news/detail/20210213-05471221-klugfx-fx</t>
  </si>
  <si>
    <t>みんかぶFX</t>
  </si>
  <si>
    <t>株式会社ミンカブ・ジ・インフォノイド</t>
  </si>
  <si>
    <t>https://fx.minkabu.jp/news/175309</t>
  </si>
  <si>
    <t>みんなの株式</t>
  </si>
  <si>
    <t>https://minkabu.jp/news/2884951</t>
  </si>
  <si>
    <t>ダウ平均は小幅高　３連休前に様子見気分が強まる＝米国株概況</t>
  </si>
  <si>
    <t>https://finance.yahoo.co.jp/news/detail/20210213-05471244-klugfx-fx</t>
  </si>
  <si>
    <t>https://minkabu.jp/news/2884973</t>
  </si>
  <si>
    <t>ダウ平均は横ばい　３連休前に様子見気分が強まる＝米国株前半</t>
  </si>
  <si>
    <t>https://finance.yahoo.co.jp/news/detail/20210213-05471196-klugfx-fx</t>
  </si>
  <si>
    <t>https://fx.minkabu.jp/news/175294</t>
  </si>
  <si>
    <t>https://minkabu.jp/news/2884926</t>
  </si>
  <si>
    <t>ViVi</t>
  </si>
  <si>
    <t>ダメージ黒ニットが超使える！周りと差がつく着こなし４DAYS</t>
  </si>
  <si>
    <t>https://www.vivi.tv/post180996/</t>
  </si>
  <si>
    <t>CYCLE SPORTS.jp</t>
  </si>
  <si>
    <t>株式会社八重洲出版</t>
  </si>
  <si>
    <t>チネリから世界中のアーティストとコラボした限定サイクリングキャップが登場</t>
  </si>
  <si>
    <t>https://www.cyclesports.jp/news/new-product/39854/?all</t>
  </si>
  <si>
    <t>チネリが世界中のアーティストとコラボ、限定キャップを発売</t>
  </si>
  <si>
    <t>http://topics.smt.docomo.ne.jp/article/funq/life/funq-673914?fm=latestnews</t>
  </si>
  <si>
    <t>BiCYCLE CLUB</t>
  </si>
  <si>
    <t>株式会社エイ出版社</t>
  </si>
  <si>
    <t>チネリが世界中のアーティストとコラボ、限定キャップを発売｜CINELLI</t>
  </si>
  <si>
    <t>https://funq.jp/bicycle-club/article/673914/</t>
  </si>
  <si>
    <t>https://news.goo.ne.jp/article/funq/life/funq-673914.html</t>
  </si>
  <si>
    <t>なにを基準に選べば良いの？ギアマニアプロが教える、ゴルフシューズの選び方</t>
  </si>
  <si>
    <t>https://news.goo.ne.jp/article/golfdigest_minna/sports/golfdigest_minna-5db6e78219c816ea22b5818c0110783fc4e531ab.html</t>
  </si>
  <si>
    <t>https://news.line.me/articles/oa-rp21493/90daf2946944</t>
  </si>
  <si>
    <t>https://news.yahoo.co.jp/articles/d449fb827f1034f98e57d4c6913d8671fab3282e</t>
  </si>
  <si>
    <t>みんなのゴルフダイジェスト</t>
  </si>
  <si>
    <t>株式会社ゴルフダイジェスト社</t>
  </si>
  <si>
    <t>https://www.golfdigest-minna.jp/_ct/17431419</t>
  </si>
  <si>
    <t>https://www.golfdigest-minna.jp/_ct/17431419?o=0&amp;tg=GEAR</t>
  </si>
  <si>
    <t>なにを基準に選べば良いの？ギアマニアプロが教える、ゴルフシューズの選び方（みんなのゴルフダイジェスト） ゴルフクラブやボールなどプレーに必須の…</t>
  </si>
  <si>
    <t>http://topics.smt.docomo.ne.jp/article/golfdigest_minna/sports/golfdigest_minna-5db6e78219c816ea22b5818c0110783fc4e531ab?fm=latestnews</t>
  </si>
  <si>
    <t>ニューヨーク発おしゃれな7人の夏コーデスナップ。自分らしさに自信を持って発信！</t>
  </si>
  <si>
    <t>https://www.mensnonno.jp/post/30870/</t>
  </si>
  <si>
    <t>Locari</t>
  </si>
  <si>
    <t>株式会社Wondershake</t>
  </si>
  <si>
    <t>ハズシ感がSo Cool！「ハイブラバッグ×スニーカー」の今旬コーデ14選</t>
  </si>
  <si>
    <t>https://locari.jp/posts/1514304?utm_content=aside-popular-on-category</t>
  </si>
  <si>
    <t>https://locari.jp/posts/1514304?utm_content=aside</t>
  </si>
  <si>
    <t>https://locari.jp/posts/1514304?utm_content=content-categorised</t>
  </si>
  <si>
    <t>https://locari.jp/posts/1514304?utm_content=content-featured</t>
  </si>
  <si>
    <t>パリ発おしゃれな人の夏服スナップ。クリーンなコーデの足元はみんなスニーカー！</t>
  </si>
  <si>
    <t>https://www.mensnonno.jp/post/31469/</t>
  </si>
  <si>
    <t>https://www.excite.co.jp/news/article/Fashionsnap_article_2021-02-13_palace-skateboards-2021s/</t>
  </si>
  <si>
    <t>https://www.fashionsnap.com/article/2021-02-13/palace-skateboards-2021s/</t>
  </si>
  <si>
    <t>https://news.line.me/issue/oa-fashionsnap/endlwy7bwyn6</t>
  </si>
  <si>
    <t>https://news.livedoor.com/article/detail/19690913/</t>
  </si>
  <si>
    <t>mixiニュース</t>
  </si>
  <si>
    <t>株式会社ミクシィ</t>
  </si>
  <si>
    <t>https://news.mixi.jp/view_news.pl?id=6411060&amp;media_id=63</t>
  </si>
  <si>
    <t>https://news.mixi.jp/view_news.pl?from=recent_list&amp;id=6411060&amp;media_id=63</t>
  </si>
  <si>
    <t>あらゆる情報アンテナ</t>
  </si>
  <si>
    <t>ヘイリー・ビーバー、ダウンジャケット×リブレギンスにNIKEの王道スニーカーを合わせたジムスタイル★</t>
  </si>
  <si>
    <t>https://antena.soccermaniaclub.com/?p=185801</t>
  </si>
  <si>
    <t>ボーイフレンドへのバレンタインギフトの参考に！ ティモシー・シャラメの愛用スポーツキャップ。</t>
  </si>
  <si>
    <t>https://trilltrill.jp/articles/1791291</t>
  </si>
  <si>
    <t>ミネラルコスメ「MiMC」からカラー下地が登場、限定店舗で発売</t>
  </si>
  <si>
    <t>https://www.excite.co.jp/news/article/Fashionsnap_article_2021-02-13_mimc-balm-primer/</t>
  </si>
  <si>
    <t>https://news.nifty.com/article/sports/soccer/12192-1183770/</t>
  </si>
  <si>
    <t>https://news.headlines.auone.jp/stories/sports/soccer/14185894</t>
  </si>
  <si>
    <t>https://news.biglobe.ne.jp/sports/0212/sck_210212_1769097032.html</t>
  </si>
  <si>
    <t>https://www.excite.co.jp/news/article/Soccerking_1183770/</t>
  </si>
  <si>
    <t>https://news.goo.ne.jp/article/soccerking/sports/soccerking-1183770.html</t>
  </si>
  <si>
    <t>GREE</t>
  </si>
  <si>
    <t>グリー株式会社</t>
  </si>
  <si>
    <t>http://jp.news.gree.net/news/entry/3920409?from_ggpnews=news_genre_list</t>
  </si>
  <si>
    <t>https://news.livedoor.com/article/detail/19688428/</t>
  </si>
  <si>
    <t>https://news.mixi.jp/view_news.pl?id=6410846&amp;media_id=138</t>
  </si>
  <si>
    <t>https://www.soccer-king.jp/news/world/esp/20210212/1183770.html?cx_top=sp_feature</t>
  </si>
  <si>
    <t>https://www.soccer-king.jp/news/world/esp/20210212/1183770.html?cx_news=page2</t>
  </si>
  <si>
    <t>https://www.soccer-king.jp/news/world/esp/20210212/1183770.html</t>
  </si>
  <si>
    <t>https://www.soccer-king.jp/news/world/esp/20210212/1183770.html?cx_cat=rankingcat</t>
  </si>
  <si>
    <t>https://www.soccer-king.jp/news/world/esp/20210212/1183770.html?cx_news=page1</t>
  </si>
  <si>
    <t>https://www.soccer-king.jp/news/world/esp/20210212/1183770.html?cx_top=newarrival</t>
  </si>
  <si>
    <t>https://www.soccer-king.jp/news/world/esp/20210212/1183770.html?cx_top=topix</t>
  </si>
  <si>
    <t>https://news.nicovideo.jp/watch/nw8931232</t>
  </si>
  <si>
    <t>毎日新聞</t>
  </si>
  <si>
    <t>株式会社毎日新聞社</t>
  </si>
  <si>
    <t>https://mainichi.jp/articles/20210212/sck/00m/050/028000c</t>
  </si>
  <si>
    <t>TheNews</t>
  </si>
  <si>
    <t>株式会社ニュース・サービス・センター</t>
  </si>
  <si>
    <t>メッシが「644」ゴール目記録のスパイクを地元美術館に寄贈…4月にチャリティオークションへ – TheNews（ザ・ニュース）</t>
  </si>
  <si>
    <t>https://www.thenews.ne.jp/detail/999733</t>
  </si>
  <si>
    <t>メッシが「644」ゴール目記録のスパイクを地元美術館に寄贈…4月にチャリティオークションへ（SOCCER KING）</t>
  </si>
  <si>
    <t>https://news.yahoo.co.jp/articles/f699360aba4c53abd3df388754cfa18fb1d7a52c</t>
  </si>
  <si>
    <t>メッシが「644」ゴール目記録のスパイクを地元美術館に寄贈…4月にチャリティオークションへ（SOCCER KING）　バルセロナに所属するアルゼンチン代表FW…</t>
  </si>
  <si>
    <t>http://topics.smt.docomo.ne.jp/article/soccerking/sports/soccerking-1183770?fm=latestnews</t>
  </si>
  <si>
    <t>https://news.livedoor.com/article/detail/19690570/</t>
  </si>
  <si>
    <t>マイライフニュース</t>
  </si>
  <si>
    <t>ヒューマン・データ・ラボラトリ株式会社</t>
  </si>
  <si>
    <t>http://www.mylifenews.net/sports/2021/02/lc114mc114.html</t>
  </si>
  <si>
    <t>ランニングで大活躍するナイキの最新ギア、発売前に着させてもらいました</t>
  </si>
  <si>
    <t>https://news.yahoo.co.jp/articles/942be1af0b9131237182b3c9f4fa8159a817fba3</t>
  </si>
  <si>
    <t>オリーブオイルをひとまわし</t>
  </si>
  <si>
    <t>株式会社ディライトクリエイション</t>
  </si>
  <si>
    <t>ランニング初心者の心得とは？距離やペース・服装など基本を知ろう！</t>
  </si>
  <si>
    <t>https://www.olive-hitomawashi.com/selfcare/2021/02/post-2544.html</t>
  </si>
  <si>
    <t>Domani</t>
  </si>
  <si>
    <t>リネンシャツのコーデ9選｜着こなしアレンジも紹介</t>
  </si>
  <si>
    <t>https://domani.shogakukan.co.jp/457674</t>
  </si>
  <si>
    <t>PR TIMES</t>
  </si>
  <si>
    <t>株式会社PR TIMES</t>
  </si>
  <si>
    <t>https://prtimes.jp/main/html/rd/p/000000334.000020320.html</t>
  </si>
  <si>
    <t>WMR Tokyo</t>
  </si>
  <si>
    <t>https://wmr.tokyo/serial-entrepreneur/archives/522813</t>
  </si>
  <si>
    <t>https://wmr.tokyo/travel/2021/02/519994/</t>
  </si>
  <si>
    <t>ねとらぼ調査隊</t>
  </si>
  <si>
    <t>アイティメディア株式会社</t>
  </si>
  <si>
    <t>今一番売れている「アディダス」のスニーカー　AmazonランキングTOP10！（2/12 17:51）</t>
  </si>
  <si>
    <t>https://nlab.itmedia.co.jp/research/articles/118993/</t>
  </si>
  <si>
    <t>今一番売れている「アディダス」のスニーカー　AmazonランキングTOP3！（2/12 17:51）</t>
  </si>
  <si>
    <t>https://news.yahoo.co.jp/articles/d4541600ac10f8299eb132bb06f66f6fd7ab3c06</t>
  </si>
  <si>
    <t>全方位ウケよし！どんなシーンでも対応可能なキャミワンピ着回し３選</t>
  </si>
  <si>
    <t>https://www.vivi.tv/post179984/</t>
  </si>
  <si>
    <t>大人の女性に似合う【ハイテクスニーカー】NEWS！ ニューフェイスもお手入れ情報も！</t>
  </si>
  <si>
    <t>https://oggi.jp/6422786</t>
  </si>
  <si>
    <t>kufura</t>
  </si>
  <si>
    <t>大人はロゴより“フォト”がイイ。「niko and…」のフォトTシャツ（3,900円）【4ケタアイテムで叶えるオシャレvol.3】</t>
  </si>
  <si>
    <t>https://kufura.jp/life/fashion/156447</t>
  </si>
  <si>
    <t>folk</t>
  </si>
  <si>
    <t>株式会社ワンケー</t>
  </si>
  <si>
    <t>大人女子のスニーカーコーデ見本帖。春のお出かけを快適に！</t>
  </si>
  <si>
    <t>https://folk-media.com/2832241</t>
  </si>
  <si>
    <t>LAURIER PRESS</t>
  </si>
  <si>
    <t>https://laurier.excite.co.jp/i/Folk_2832241</t>
  </si>
  <si>
    <t>michill</t>
  </si>
  <si>
    <t>GMOインサイト株式会社</t>
  </si>
  <si>
    <t>https://michill.jp/author/articles/75307</t>
  </si>
  <si>
    <t>https://trilltrill.jp/articles/1792090</t>
  </si>
  <si>
    <t>https://woman.excite.co.jp/article/lifestyle/rid_Folk_2832241/</t>
  </si>
  <si>
    <t>https://gunosy.com/articles/ezs31</t>
  </si>
  <si>
    <t>https://news.merumo.ne.jp/article/genre/10466701</t>
  </si>
  <si>
    <t>モデルプレス</t>
  </si>
  <si>
    <t>株式会社ネットネイティブ</t>
  </si>
  <si>
    <t>https://mdpr.jp/fashion/detail/2437407</t>
  </si>
  <si>
    <t>https://domani.shogakukan.co.jp/461678</t>
  </si>
  <si>
    <t>走ろう.com</t>
  </si>
  <si>
    <t>怪我のない走りを。ナイキが柔らかい履き心地の「ナイキ ズームX インヴィンシブル ラン」を 2月18日に発売</t>
  </si>
  <si>
    <t>https://hashirou.com/article/page/nike-zoomx-invincible-run-release</t>
  </si>
  <si>
    <t>https://news.jorudan.co.jp/docs/news/detail.cgi?newsid=PT000772A000031382</t>
  </si>
  <si>
    <t>https://www.sankei.com/economy/news/210212/prl2102120878-n1.html</t>
  </si>
  <si>
    <t>気分がアガる！ 鉄板ブランドのヒネリの効いたスニーカー3選</t>
  </si>
  <si>
    <t>https://news.yahoo.co.jp/articles/2c8fcd88adf5f27da05d5fbeae162959b2841408</t>
  </si>
  <si>
    <t>RuntripMagazine</t>
  </si>
  <si>
    <t>株式会社ラントリップ</t>
  </si>
  <si>
    <t>https://mg.runtrip.jp/archives/62525</t>
  </si>
  <si>
    <t>IGNITE</t>
  </si>
  <si>
    <t>https://ignite.jp/2021/02/246201/</t>
  </si>
  <si>
    <t>https://news.infoseek.co.jp/article/ignite_246201</t>
  </si>
  <si>
    <t>https://news.infoseek.co.jp/article/ignite_246201/</t>
  </si>
  <si>
    <t>MADURO ONLINE</t>
  </si>
  <si>
    <t>株式会社MADURO ONLINE、株式会社インタースペース</t>
  </si>
  <si>
    <t>画期的！手を使わずに履ける「ナイキ ゴー フライイーズ」</t>
  </si>
  <si>
    <t>https://maduro-online.jp/6006</t>
  </si>
  <si>
    <t>米国株15時、ダウ56ﾄﾞﾙ安　高値警戒感の売り　金利上昇も重荷</t>
  </si>
  <si>
    <t>https://www.nikkei.com/article/DGXZAS3LANY02_T10C21A2000000/</t>
  </si>
  <si>
    <t>防寒しながら、おしゃれも楽しむ！2月の寒さを乗り切るコーデの秘訣まとめ｜40代ファッション</t>
  </si>
  <si>
    <t>https://one.hpplus.jp/marisol/132551</t>
  </si>
  <si>
    <t>https://marisol.hpplus.jp/article/65740</t>
  </si>
  <si>
    <t>防寒対策も抜かりなし。エンジョイ週末ランナーの自然派スタイル術</t>
  </si>
  <si>
    <t>https://www.excite.co.jp/news/article/Oceans_656959/</t>
  </si>
  <si>
    <t>OCEANS</t>
  </si>
  <si>
    <t>株式会社ライトハウスメディア</t>
  </si>
  <si>
    <t>https://oceans.tokyo.jp/leisure/2021-0213-8/</t>
  </si>
  <si>
    <t>2021/02/12</t>
  </si>
  <si>
    <t>[東急スポーツシステム株式会社] 【東急SレイエスFC】レイエスオリジナルグッズ新商品発売！</t>
  </si>
  <si>
    <t>https://president.jp/ud/pressrelease/60260f3f776561479b250000</t>
  </si>
  <si>
    <t>[株式会社そごう・西武] 暗くなった渋谷の街を明るくしたい！“ボタンフラワー”でお花見しよう！SHUN SUDOのアートが西武渋谷店に登場</t>
  </si>
  <si>
    <t>https://president.jp/ud/pressrelease/602663967765619952030000</t>
  </si>
  <si>
    <t>[株式会社テクストトレーディングカンパニー] atmosより、過去のNIKE AIR MAXの名作をデザインに落とし込んだ最新作「NIKE VAPOR MAX EVO NRG」が発売。</t>
  </si>
  <si>
    <t>https://president.jp/ud/pressrelease/60262b677765618bc94e0000</t>
  </si>
  <si>
    <t>レッツエンジョイ東京</t>
  </si>
  <si>
    <t>東京地下鉄株式会社</t>
  </si>
  <si>
    <t>「Laketown mori Art Wall」アートウォール公開制作【Lets】レッツエンジョイ東京</t>
  </si>
  <si>
    <t>https://www.enjoytokyo.jp/shopping/event/1611452/</t>
  </si>
  <si>
    <t>「Pちゃん」自費出版プロジェクトに関するクラウドファンディング資金募集開始　</t>
  </si>
  <si>
    <t>https://dime.jp/company_news/detail/?pr=772742</t>
  </si>
  <si>
    <t>https://business.nifty.com/cs/catalog/business_release/catalog_prt000000001000074171_1.htm</t>
  </si>
  <si>
    <t>https://news.allabout.co.jp/articles/p/000000001.000074171/</t>
  </si>
  <si>
    <t>https://news.cube-soft.jp/release/729660</t>
  </si>
  <si>
    <t>https://www.excite.co.jp/news/article/Prtimes_2021-02-12-74171-1/</t>
  </si>
  <si>
    <t>https://news.infoseek.co.jp/article/prtimes_000000001_000074171/</t>
  </si>
  <si>
    <t>https://www.mapion.co.jp/news/release/000000001.000074171-all/</t>
  </si>
  <si>
    <t>https://www.newscafe.ne.jp/release/prtimes2/20210212/641508.html</t>
  </si>
  <si>
    <t>https://prtimes.jp/main/html/rd/p/000000001.000074171.html</t>
  </si>
  <si>
    <t>https://straightpress.jp/company_news/detail?pr=000000001.000074171</t>
  </si>
  <si>
    <t>Techable</t>
  </si>
  <si>
    <t>https://techable.jp/archives/000000001.000074171</t>
  </si>
  <si>
    <t>https://wmr.tokyo/entertainment/2021/02/519947/</t>
  </si>
  <si>
    <t>https://ure.pia.co.jp/articles/-/953087</t>
  </si>
  <si>
    <t>https://news.jorudan.co.jp/docs/news/detail.cgi?newsid=PT000001A000074171</t>
  </si>
  <si>
    <t>ダ・ヴィンチニュース</t>
  </si>
  <si>
    <t>株式会社KADOKAWA</t>
  </si>
  <si>
    <t>https://ddnavi.com/publisher-release/738317/a/</t>
  </si>
  <si>
    <t>https://news.toremaga.com/release/others/1779845.html</t>
  </si>
  <si>
    <t>https://news.nicovideo.jp/watch/nw8928875</t>
  </si>
  <si>
    <t>https://www.asahi.com/and_M/pressrelease/pre_23463517/</t>
  </si>
  <si>
    <t>https://www.zaikei.co.jp/releases/1216656/</t>
  </si>
  <si>
    <t>ELLE ONLINE</t>
  </si>
  <si>
    <t>「アップルウォッチ」のここがすごい！ 業界人を虜にするスマートウォッチの魅力を徹底解剖</t>
  </si>
  <si>
    <t>https://www.elle.com/jp/fashion/fashion-column/a35425962/applewatch-fashionista20216uy/</t>
  </si>
  <si>
    <t>「大坂なおみ、早速着用！」オーナーを務めるNCカレッジが新ユニフォームを発表</t>
  </si>
  <si>
    <t>https://news.line.me/articles/oa-rp82321/2e9bc9f21264</t>
  </si>
  <si>
    <t>https://news.livedoor.com/article/detail/19686717/</t>
  </si>
  <si>
    <t>Qoly</t>
  </si>
  <si>
    <t>株式会社コリー</t>
  </si>
  <si>
    <t>https://qoly.jp/2021/02/12/north-carolina-courage-2021-nike-home-away-kit-lfb-1</t>
  </si>
  <si>
    <t>https://gunosy.com/articles/ete76</t>
  </si>
  <si>
    <t>｢箱根駅伝までの人vs.オリンピックに出る人｣チヤホヤされた選手ほど転落するワケ</t>
  </si>
  <si>
    <t>https://news.line.me/issue/oa-president/6fmiwhwarfjs</t>
  </si>
  <si>
    <t>「米国株の最強10銘柄リスト」、米国株で1億円稼いだエル氏が推薦！</t>
  </si>
  <si>
    <t>https://news.yahoo.co.jp/articles/9453221b4099e1bede492be627230561ab70919e</t>
  </si>
  <si>
    <t>https://finance.yahoo.co.jp/news/detail/20210212-00261771-diamond-column</t>
  </si>
  <si>
    <t>ダイヤモンド・オンライン</t>
  </si>
  <si>
    <t>株式会社ダイヤモンド社</t>
  </si>
  <si>
    <t>https://diamond.jp/articles/-/261771</t>
  </si>
  <si>
    <t>【2/20発売】NIKE SB DUNK LOW PRO "VX1000 CAMCORDER" 抽選/定価/販売店舗まとめ</t>
  </si>
  <si>
    <t>https://snkrdunk.com/articles/10218/</t>
  </si>
  <si>
    <t>【2021年春ファッション】ウエストマークがとにかく今年は目白押し！ふわピタなワンピが登場！！</t>
  </si>
  <si>
    <t>https://news.yahoo.co.jp/articles/5c715b0b0d60b5d1c8b60d7b9c44b2533f05a460</t>
  </si>
  <si>
    <t>【40代からの下着の基本】胸が垂れる原因になるかも！？スポーツブラを正しく使おう</t>
  </si>
  <si>
    <t>https://news.goo.ne.jp/article/saitapuls/life/saitapuls-19550.html</t>
  </si>
  <si>
    <t>saitaPULS</t>
  </si>
  <si>
    <t>株式会社セブン＆アイ出版</t>
  </si>
  <si>
    <t>https://saita-puls.com/19550</t>
  </si>
  <si>
    <t>【40代からの下着の基本】胸が垂れる原因になるかも！？スポーツブラを正しく使おう（saita）こんにちは、インナーウエアコンサルタント…</t>
  </si>
  <si>
    <t>http://topics.smt.docomo.ne.jp/article/saitapuls/life/saitapuls-19550?fm=latestnews</t>
  </si>
  <si>
    <t>ナウティスニュース</t>
  </si>
  <si>
    <t>ForTheEath株式会社</t>
  </si>
  <si>
    <t>【エアマックス】ナイキAIR MAXシリーズで一番好きなのはどのモデル？【人気投票実施中】（要約） | ねとらぼ調査隊</t>
  </si>
  <si>
    <t>https://nowtice.net/news/1068179/</t>
  </si>
  <si>
    <t>【この春に履きたい】デニムまとめ！着こなしに迷ったらここからチェック！</t>
  </si>
  <si>
    <t>https://news.yahoo.co.jp/articles/48ffcb777d53282ed80c3bd2cf9b88ec70a2db10</t>
  </si>
  <si>
    <t>【しまむらにNIKEまで】ViViスタイリストたちの＃推しアイテム</t>
  </si>
  <si>
    <t>https://news.line.me/issue/oa-vivi-news/xn4betjioimj</t>
  </si>
  <si>
    <t>スポーツナビDo</t>
  </si>
  <si>
    <t>スポーツナビ株式会社</t>
  </si>
  <si>
    <t>【ナイキ】ランナーの走り方を革新的なアパレルづくりに生かしたNSRLコレクション</t>
  </si>
  <si>
    <t>https://dosports.yahoo.co.jp/column/detail/202102120049-spnavido</t>
  </si>
  <si>
    <t>スニーカーウォーズ</t>
  </si>
  <si>
    <t>YUSUKE NAKAMURA</t>
  </si>
  <si>
    <t>【リーク】ナイキ ウィメンズ ダンク ロー "レモン ドロップ" レモン ドロップ/オプティ イエロー-セイル-ジトロン(DJ6902-700)</t>
  </si>
  <si>
    <t>https://sneakerwars.jp/items/view/13960</t>
  </si>
  <si>
    <t>【リーク】ナイキ エアジョーダン 35 ロー "ホワイト メタリック" ホワイト/ホワイト-メタリック シルバー(CW2459-100)</t>
  </si>
  <si>
    <t>https://sneakerwars.jp/items/view/13924</t>
  </si>
  <si>
    <t>【動画】「アディダス オリジナルス」「テバ」「コンバース」のサステナブルな定番シューズを紹介！</t>
  </si>
  <si>
    <t>https://trilltrill.jp/articles/1791072</t>
  </si>
  <si>
    <t>ELLE girl online</t>
  </si>
  <si>
    <t>【動画】「アディダス」「テバ」「コンバース」のサステナブルな定番シューズを紹介！</t>
  </si>
  <si>
    <t>https://ellegirl.jp/wellness/sustainable/g35388706/ellegirluni-didyouknow-21-0212/</t>
  </si>
  <si>
    <t>【国内2月18日/20日発売予定】ファッキンオーサム × アディダス スケートボーディング エクスペリメント 1 &amp; エクスペリメント 2</t>
  </si>
  <si>
    <t>https://sneakerwars.jp/items/view/13958</t>
  </si>
  <si>
    <t>Sustainable Japan</t>
  </si>
  <si>
    <t>株式会社ニューラル</t>
  </si>
  <si>
    <t>【国際】CDP、2020年サプライチェーン報告書を公表。日本は10社・機関が参加。5年で160兆円のリスク 2021/02/12 最新ニュース</t>
  </si>
  <si>
    <t>https://sustainablejapan.jp/2021/02/12/cdp-supply-chain-2020-2/59037</t>
  </si>
  <si>
    <t>【国際】PRI、機関投資家に対し、投資先企業の政治献金の透明化に向け動くよう呼びかけ。ESGのG 2021/02/12 最新ニュース</t>
  </si>
  <si>
    <t>https://sustainablejapan.jp/2021/02/12/pri-political-contribution/59053</t>
  </si>
  <si>
    <t>【最新スニーカートピック】初のNBA制覇時に着用したモデルが登場！</t>
  </si>
  <si>
    <t>https://www.excite.co.jp/news/article/Nicheee_2328215/</t>
  </si>
  <si>
    <t>https://news.livedoor.com/article/detail/19685813/</t>
  </si>
  <si>
    <t>ガジェット通信</t>
  </si>
  <si>
    <t>株式会社東京産業新聞社</t>
  </si>
  <si>
    <t>https://getnews.jp/archives/2939312</t>
  </si>
  <si>
    <t>https://news.merumo.ne.jp/article/genre/10463644</t>
  </si>
  <si>
    <t>Nicheee!</t>
  </si>
  <si>
    <t>株式会社フルタイム</t>
  </si>
  <si>
    <t>【最新スニーカートピック】初のNBA制覇時に着用したモデルが登場！ | Nicheee! [ニッチー！]　</t>
  </si>
  <si>
    <t>http://www.nicheee.com/archives/2328215.html</t>
  </si>
  <si>
    <t>https://dime.jp/company_news/detail/?pr=772565</t>
  </si>
  <si>
    <t>https://business.nifty.com/cs/catalog/business_release/catalog_prt000000058000059271_1.htm</t>
  </si>
  <si>
    <t>https://news.allabout.co.jp/articles/p/000000058.000059271/</t>
  </si>
  <si>
    <t>https://news.biglobe.ne.jp/economy/0212/prt_210212_9445139996.html</t>
  </si>
  <si>
    <t>https://b2b-ch.infomart.co.jp/news/detail.page?IMNEWS4=2402285</t>
  </si>
  <si>
    <t>https://news.cube-soft.jp/release/729533</t>
  </si>
  <si>
    <t>https://news.infoseek.co.jp/article/prtimes_000000058_000059271/</t>
  </si>
  <si>
    <t>https://jbpress.ismedia.jp/ud/pressrelease/60260f377765612c98250000</t>
  </si>
  <si>
    <t>https://www.mapion.co.jp/news/release/000000058.000059271-all/</t>
  </si>
  <si>
    <t>https://www.newscafe.ne.jp/release/prtimes2/20210212/641368.html</t>
  </si>
  <si>
    <t>https://prtimes.jp/main/html/rd/p/000000058.000059271.html</t>
  </si>
  <si>
    <t>https://straightpress.jp/company_news/detail?pr=000000058.000059271</t>
  </si>
  <si>
    <t>https://wmr.tokyo/travel/2021/02/519800/</t>
  </si>
  <si>
    <t>http://www.iza.ne.jp/kiji/pressrelease/news/210212/prl21021214160446-n1.html</t>
  </si>
  <si>
    <t>https://ure.pia.co.jp/articles/-/953025</t>
  </si>
  <si>
    <t>https://news.jorudan.co.jp/docs/news/detail.cgi?newsid=PT000058A000059271</t>
  </si>
  <si>
    <t>https://news.toremaga.com/release/others/1779624.html</t>
  </si>
  <si>
    <t>https://news.nicovideo.jp/watch/nw8928388</t>
  </si>
  <si>
    <t>https://www.jiji.com/jc/article?g=prt&amp;k=000000058.000059271</t>
  </si>
  <si>
    <t>https://www.asahi.com/and_M/pressrelease/pre_23458294/</t>
  </si>
  <si>
    <t>https://toyokeizai.net/ud/pressrelease/6026133577656133b53d0000</t>
  </si>
  <si>
    <t>https://gendai.ismedia.jp/ud/pressrelease/6026136377656157193e0000</t>
  </si>
  <si>
    <t>https://www.sankei.com/economy/news/210212/prl2102120447-n1.html</t>
  </si>
  <si>
    <t>https://www.zaikei.co.jp/releases/1216434/</t>
  </si>
  <si>
    <t>【東急SレイエスFC】レイエスオリジナルグッズ新商品発売！ [PR]</t>
  </si>
  <si>
    <t>https://number.bunshun.jp/ud/pressrelease/602612d277656172b8010000</t>
  </si>
  <si>
    <t>【決算速報】エステールＨ、21年03月通期経常見通し52.6%減益。</t>
  </si>
  <si>
    <t>https://finance.yahoo.co.jp/news/detail/20210212-12787216-ifis-stocks</t>
  </si>
  <si>
    <t>【決算速報】エステールＨ、3Q累計経常56百万。</t>
  </si>
  <si>
    <t>https://finance.yahoo.co.jp/news/detail/20210212-11787216-ifis-stocks</t>
  </si>
  <si>
    <t>【編集部厳選】ヴァレンティノがボルサリーノとコラボ、見逃せない今月の４選</t>
  </si>
  <si>
    <t>https://www.mensnonno.jp/post/70298/</t>
  </si>
  <si>
    <t>通販新聞</t>
  </si>
  <si>
    <t>株式会社通販新聞社</t>
  </si>
  <si>
    <t>ABCマート　ライブコマースに挑戦、靴以外にも幅広く提案</t>
  </si>
  <si>
    <t>https://www.tsuhanshimbun.com/products/article_detail.php?product_id=5646</t>
  </si>
  <si>
    <t>adidas Originals「A-ZX」シリーズにザ・シンプソンズKRUSTY BURGERをモチーフにしたモデルが登場！本日より販売開始</t>
  </si>
  <si>
    <t>https://www.excite.co.jp/news/article/Qetic_388098/</t>
  </si>
  <si>
    <t>Qetic</t>
  </si>
  <si>
    <t>Qetic株式会社</t>
  </si>
  <si>
    <t>https://qetic.jp/life-fashion/adidas-thesimpsons-210212/388098/</t>
  </si>
  <si>
    <t>https://news.nicovideo.jp/watch/nw8929477</t>
  </si>
  <si>
    <t>Mastered</t>
  </si>
  <si>
    <t>株式会社CRESCE</t>
  </si>
  <si>
    <t>adidas Originalsの『FORUM 84 LOW』が2月17日に国内リリース</t>
  </si>
  <si>
    <t>https://mastered.jp/news/adidasoriginals-forum84low-20210217/</t>
  </si>
  <si>
    <t>adidas Originalsよりザ・シンプソンズのKRUSTY BURGERにインスパイアされたZX 10000 KRUSTY BURGERが登場</t>
  </si>
  <si>
    <t>https://fnmnl.tv/2021/02/12/118007</t>
  </si>
  <si>
    <t>FLY BASKETBALL CULTURE MAGAZINE</t>
  </si>
  <si>
    <t>トランスワールドジャパン株式会社</t>
  </si>
  <si>
    <t>adidas「FORUM 84 LOW」が2月17日(水)登場！</t>
  </si>
  <si>
    <t>https://flymag.jp/news/14406/</t>
  </si>
  <si>
    <t>CreatorZine</t>
  </si>
  <si>
    <t>株式会社翔泳社</t>
  </si>
  <si>
    <t>Apple Watch Series 6発表　血中酸素濃度センサーなどウェルネス&amp;フィットネス機能も</t>
  </si>
  <si>
    <t>https://creatorzine.jp/news/detail/1377</t>
  </si>
  <si>
    <t>https://dime.jp/company_news/detail/?pr=772761</t>
  </si>
  <si>
    <t>https://business.nifty.com/cs/catalog/business_release/catalog_prt000000099000063811_1.htm</t>
  </si>
  <si>
    <t>https://news.allabout.co.jp/articles/p/000000099.000063811/</t>
  </si>
  <si>
    <t>https://www.kk-bestsellers.com/articles/-/press_release/832764/</t>
  </si>
  <si>
    <t>https://news.biglobe.ne.jp/economy/0212/prt_210212_2577279647.html</t>
  </si>
  <si>
    <t>https://news.cube-soft.jp/release/729641</t>
  </si>
  <si>
    <t>https://www.excite.co.jp/news/article/Prtimes_2021-02-12-63811-99/</t>
  </si>
  <si>
    <t>https://news.infoseek.co.jp/article/prtimes_000000099_000063811/</t>
  </si>
  <si>
    <t>https://jbpress.ismedia.jp/ud/pressrelease/60262b587765615cb84e0000</t>
  </si>
  <si>
    <t>https://www.mapion.co.jp/news/release/000000099.000063811-all/</t>
  </si>
  <si>
    <t>https://www.newscafe.ne.jp/release/prtimes2/20210212/641418.html</t>
  </si>
  <si>
    <t>atmosより、過去のNIKE AIR MAXの名作をデザインに落とし込んだ最新作「NIKE VAPOR MAX EVO NRG」が発売。</t>
  </si>
  <si>
    <t>https://prtimes.jp/main/html/rd/p/000000099.000063811.html</t>
  </si>
  <si>
    <t>https://straightpress.jp/company_news/detail?pr=000000099.000063811</t>
  </si>
  <si>
    <t>http://www.iza.ne.jp/kiji/pressrelease/news/210212/prl21021215420545-n1.html</t>
  </si>
  <si>
    <t>https://ure.pia.co.jp/articles/-/953106</t>
  </si>
  <si>
    <t>https://news.jorudan.co.jp/docs/news/detail.cgi?newsid=PT000099A000063811</t>
  </si>
  <si>
    <t>https://news.toremaga.com/release/others/1779676.html</t>
  </si>
  <si>
    <t>https://news.nicovideo.jp/watch/nw8928805</t>
  </si>
  <si>
    <t>https://www.jiji.com/jc/article?g=prt&amp;k=000000099.000063811</t>
  </si>
  <si>
    <t>https://www.asahi.com/and_M/pressrelease/pre_23463667/</t>
  </si>
  <si>
    <t>https://toyokeizai.net/ud/pressrelease/6026213f77656160dc140000</t>
  </si>
  <si>
    <t>https://gendai.ismedia.jp/ud/pressrelease/602621767765618864180000</t>
  </si>
  <si>
    <t>https://www.sankei.com/economy/news/210212/prl2102120545-n1.html</t>
  </si>
  <si>
    <t>https://www.zaikei.co.jp/releases/1216563/</t>
  </si>
  <si>
    <t>atmosより、過去のNIKE AIR MAXの名作をデザインに落とし込んだ最新作「NIKE VAPOR MAX EVO NRG」が発売。 [PR]</t>
  </si>
  <si>
    <t>https://number.bunshun.jp/ud/pressrelease/602620db776561967b010000</t>
  </si>
  <si>
    <t>BリーグからNCAAディビジョンIに飛び込むサムライ - ケイン・ロバーツ（東京Z）の物語（2）（月刊バレーボール＆月刊バスケットボール） - Yahoo!ニュース</t>
  </si>
  <si>
    <t>https://news.yahoo.co.jp/articles/9f392f1b2527b2849c1947b80435bd9b1850c30d</t>
  </si>
  <si>
    <t>KAGIRU – TOKYO</t>
  </si>
  <si>
    <t>https://droptokyo.com/freshsnaps/ID/?id=285183</t>
  </si>
  <si>
    <t>KAZUSHIRO MATSUURA AND KENSHIRO – KANSAI</t>
  </si>
  <si>
    <t>https://droptokyo.com/freshsnaps/ID/?id=285432</t>
  </si>
  <si>
    <t>NBA Teams: China Connection</t>
  </si>
  <si>
    <t>https://this.kiji.is/732703071561351168</t>
  </si>
  <si>
    <t>https://article.auone.jp/detail/1/6/12/26_12_r_20210212_1613113711326595</t>
  </si>
  <si>
    <t>https://news.goo.ne.jp/article/basketballking/sports/basketballking-307870.html</t>
  </si>
  <si>
    <t>https://news.line.me/issue/oa-basketballking/fz73ok6yjvxt</t>
  </si>
  <si>
    <t>https://basketballking.jp/news/world/nba/20210212/307870.html?cx_news=page2</t>
  </si>
  <si>
    <t>https://basketballking.jp/news/world/nba/20210212/307870.html?cx_news=page1</t>
  </si>
  <si>
    <t>https://basketballking.jp/news/world/nba/20210212/307870.html?cx_top=newarrival</t>
  </si>
  <si>
    <t>https://basketballking.jp/news/world/nba/20210212/307870.html?cx_top=topix</t>
  </si>
  <si>
    <t>NBAで最も稼いでいる選手は誰だ！　Forbesが2021年の高給取りランキングを発表 | バスケットボール | スポーツブル (スポブル)</t>
  </si>
  <si>
    <t>https://sportsbull.jp/p/948595/</t>
  </si>
  <si>
    <t>NBAで最も稼いでいる選手は誰だ！　Forbesが2021年の高給取りランキングを発表（バスケットボールキング）　アメリカ三大スポーツの一角をなすNBAは、…</t>
  </si>
  <si>
    <t>http://topics.smt.docomo.ne.jp/article/basketballking/sports/basketballking-307870?fm=latestnews</t>
  </si>
  <si>
    <t>NIKE, Inc. Declares $0.275 Quarterly Dividend</t>
  </si>
  <si>
    <t>https://www.businesswire.com/news/home/20210211005939/en/NIKE-Inc.-Declares-0.275-Quarterly-Dividend</t>
  </si>
  <si>
    <t>NY主要株価－インテル、エヌビディア、サイモン・プロパティーが上昇　フォード、エクソン・モービルが下落</t>
  </si>
  <si>
    <t>https://finance.yahoo.co.jp/news/detail/20210212-10000011-dzh-market</t>
  </si>
  <si>
    <t>https://www.traders.co.jp/news/news_top.asp?page=1&amp;newscode=1609580&amp;type=1&amp;filter=ALL&amp;n=#news_top</t>
  </si>
  <si>
    <t>NY市場概況－ダウがほぼ横ばい　S&amp;Pとナスダックは終値の最高値を更新</t>
  </si>
  <si>
    <t>https://finance.yahoo.co.jp/news/detail/20210212-10000016-dzh-market</t>
  </si>
  <si>
    <t>Onyourmark</t>
  </si>
  <si>
    <t>株式会社アルティコ</t>
  </si>
  <si>
    <t>OYM ランニング障害学習講座　スネの骨に痛みを感じたら　#3 シンスプリント 　 – onyourmark MAG</t>
  </si>
  <si>
    <t>https://mag.onyourmark.jp/2021/02/running_kega_study3/130854</t>
  </si>
  <si>
    <t>PALACE SKATEBOARDS が2021年春コレクションで控えている注目すべきコラボレーションを発表</t>
  </si>
  <si>
    <t>https://hypebeast.com/jp/2021/2/palace-spring-2021-collection-alice-cooper-come-to-my-church-release-info</t>
  </si>
  <si>
    <t>https://news.line.me/articles/oa-rp96641/40138d7fd304</t>
  </si>
  <si>
    <t>https://www.mensnonno.jp/post/70003/</t>
  </si>
  <si>
    <t>SNSで話題！ NIKE初の“手を使わない”スニーカー「ゴー フライイーズ」を実際に履いてみた。</t>
  </si>
  <si>
    <t>https://news.line.me/articles/oa-rp39638/15563be4f3fe</t>
  </si>
  <si>
    <t>https://www.vogue.co.jp/fashion/article/nike-go-flyease</t>
  </si>
  <si>
    <t>アシックスが人気！　今一番売れている「メンズバスケットボールシューズ」AmazonランキングTOP10！（2/12 09:24）</t>
  </si>
  <si>
    <t>https://nlab.itmedia.co.jp/research/articles/118246/</t>
  </si>
  <si>
    <t>https://woman.excite.co.jp/article/lifestyle/rid_Fashionpress_69773/</t>
  </si>
  <si>
    <t>アディダス オリジナルスからスニーカー「フォーラム 84」のローカットモデルが復刻発売</t>
  </si>
  <si>
    <t>https://antenna.jp/articles/12491803</t>
  </si>
  <si>
    <t>FASHION PRESS</t>
  </si>
  <si>
    <t>株式会社カーリン</t>
  </si>
  <si>
    <t>https://www.fashion-press.net/news/69835</t>
  </si>
  <si>
    <t>https://news.goo.ne.jp/article/fashionpress/trend/fashionpress-69835.html</t>
  </si>
  <si>
    <t>https://news.line.me/articles/oa-rp45312/60123c79aeb7</t>
  </si>
  <si>
    <t>https://news.livedoor.com/article/detail/19685356/</t>
  </si>
  <si>
    <t>https://trilltrill.jp/articles/1790791</t>
  </si>
  <si>
    <t>アディダス オリジナルスからスニーカー「フォーラム 84」のローカットモデルが復刻発売（ファッションプレス）アディダス オリジナルス(adidas Originals)…</t>
  </si>
  <si>
    <t>http://topics.smt.docomo.ne.jp/article/fashionpress/trend/fashionpress-69835?fm=latestnews</t>
  </si>
  <si>
    <t>https://article.auone.jp/detail/1/1/1/37_1_r_20210212_1613106731934278</t>
  </si>
  <si>
    <t>https://news.biglobe.ne.jp/trend/0212/mnn_210212_2650408751.html</t>
  </si>
  <si>
    <t>https://news.infoseek.co.jp/article/mynavi_2196291</t>
  </si>
  <si>
    <t>https://news.infoseek.co.jp/article/mynavi_2196291/</t>
  </si>
  <si>
    <t>https://news.line.me/articles/oa-rp73180/4b273295531e</t>
  </si>
  <si>
    <t>https://news.livedoor.com/article/detail/19685742/</t>
  </si>
  <si>
    <t>https://newscollect.jp/article/?id=732827232956104704</t>
  </si>
  <si>
    <t>エンタメプラス</t>
  </si>
  <si>
    <t>https://entameplus.jp/article/index.php?id=732827232956104704</t>
  </si>
  <si>
    <t>https://gunosy.com/articles/ecnOT</t>
  </si>
  <si>
    <t>https://news.nicovideo.jp/watch/nw8928700</t>
  </si>
  <si>
    <t>マイナビニュース</t>
  </si>
  <si>
    <t>株式会社マイナビ</t>
  </si>
  <si>
    <t>https://news.mynavi.jp/article/20210212-1725704/</t>
  </si>
  <si>
    <t>https://news.merumo.ne.jp/article/genre/10463596</t>
  </si>
  <si>
    <t>アディダス、ランニングシューズ「ZX」の最新モデル「ZX 2K BOOST PURE」を発売</t>
  </si>
  <si>
    <t>https://news.livedoor.com/article/detail/19685229/</t>
  </si>
  <si>
    <t>http://www.mylifenews.net/sports/2021/02/zxzx-2k-boost-pure.html</t>
  </si>
  <si>
    <t>アディダス、ローカットモデル「FORUM 84 LOW（フォーラム 84 ロー）」を発売</t>
  </si>
  <si>
    <t>https://www.nikkei.com/article/DGXLRSP605022_S1A210C2000000/</t>
  </si>
  <si>
    <t>OKMusic</t>
  </si>
  <si>
    <t>株式会社オーケーライフ</t>
  </si>
  <si>
    <t>アディダス「FORUM 84 LOW 」待望の ローカットが2/17国内リリース</t>
  </si>
  <si>
    <t>http://okmusic.jp/news/413481/</t>
  </si>
  <si>
    <t>アディダス「FORUM 84 LOW 」待望のローカットが2/17国内リリース</t>
  </si>
  <si>
    <t>https://news.line.me/articles/oa-rp27611/bf78874a09aa</t>
  </si>
  <si>
    <t>アディダスから昨年末復刻の「FORUM」ローカットモデル「FORUM 84 LOW」が発売決定！池野詩織によるキャンペーンクリエイティブ展開＆抽選予約受付中</t>
  </si>
  <si>
    <t>https://www.excite.co.jp/news/article/Qetic_388027/</t>
  </si>
  <si>
    <t>https://qetic.jp/life-fashion/adidas-forum-84-210212/388027/</t>
  </si>
  <si>
    <t>https://news.nicovideo.jp/watch/nw8927623</t>
  </si>
  <si>
    <t>アラサー女子の「通勤服」から「仕事服」への変化【2020年→2021年】｜CLASSY.</t>
  </si>
  <si>
    <t>https://news.yahoo.co.jp/articles/6129456d3d24f2d258f21b6bda53315942bd201e</t>
  </si>
  <si>
    <t>ヴァージル・アブローがメットガラで「ルイ・ヴィトン」2019年春夏メンズのプレビューを着用</t>
  </si>
  <si>
    <t>https://www.excite.co.jp/news/article/Fashionsnap_article_2018-05-09_virgil-abloh-metgala/</t>
  </si>
  <si>
    <t>おにぎりをテーマとした Air Max 90 “Rice Ball” が誕生</t>
  </si>
  <si>
    <t>https://hypebeast.com/jp/2021/2/nike-air-max-90-rice-ball-release-info</t>
  </si>
  <si>
    <t>https://news.line.me/articles/oa-rp96641/032230e295e6</t>
  </si>
  <si>
    <t>オリジナルの再現度、過去最高。エア ジョーダン 6のカーマインが帰還！</t>
  </si>
  <si>
    <t>https://antenna.jp/articles/12494288</t>
  </si>
  <si>
    <t>https://www.excite.co.jp/news/article/Oceans_2021-0212-8-ocn/</t>
  </si>
  <si>
    <t>https://oceans.tokyo.jp/fashion/2021-0212-8-ocn/</t>
  </si>
  <si>
    <t>キマッテマス！ プロが着けてるスポーツメーカー系マスク</t>
  </si>
  <si>
    <t>アディダス,ヨネックス</t>
  </si>
  <si>
    <t>https://www.msn.com/ja-jp/news/sports/%E3%82%AD%E3%83%9E%E3%83%83%E3%83%86%E3%83%9E%E3%82%B9%EF%BC%81-%E3%83%97%E3%83%AD%E3%81%8C%E7%9D%80%E3%81%91%E3%81%A6%E3%82%8B%E3%82%B9%E3%83%9D%E3%83%BC%E3%83%84%E3%83%A1%E3%83%BC%E3%82%AB%E3%83%BC%E7%B3%BB%E3%83%9E%E3%82%B9%E3%82%AF/ar-BB1dyzAW</t>
  </si>
  <si>
    <t>キャラクター＆モチーフにキュン♡ 人気ブランドの眼福ジョイフルグッズ11選</t>
  </si>
  <si>
    <t>https://www.elle.com/jp/fashion/g35487008/joyful-cute-accessory-210210-hns/</t>
  </si>
  <si>
    <t>https://news.goo.ne.jp/article/golfdigest_minna/sports/golfdigest_minna-5ef491bf8979f9143bb268c935b49a4d5cdfff07.html</t>
  </si>
  <si>
    <t>https://news.line.me/articles/oa-rp21493/8a245cf2c124</t>
  </si>
  <si>
    <t>https://www.golfdigest-minna.jp/_ct/17431046?ct=id&amp;fr=cl</t>
  </si>
  <si>
    <t>https://www.golfdigest-minna.jp/_ct/17431046</t>
  </si>
  <si>
    <t>https://www.golfdigest-minna.jp/_ct/17431046?o=0&amp;tg=GEAR</t>
  </si>
  <si>
    <t>https://www.golfdigest-minna.jp/_ct/17431046?o=0&amp;tg=tour</t>
  </si>
  <si>
    <t>ケプカが手放せない1本。長年愛用の3番アイアン「ナイキ ヴェイパーフライプロ」ってどんなクラブ？（みんなのゴルフダイジェスト）</t>
  </si>
  <si>
    <t>https://news.yahoo.co.jp/articles/83ced67cd7aebc784c2d55f6f98fa0f0824c1d57</t>
  </si>
  <si>
    <t>ケプカが手放せない1本。長年愛用の3番アイアン「ナイキ ヴェイパーフライプロ」ってどんなクラブ？（みんなのゴルフダイジェスト） PGAツアー「ウェイストマネジメントフェニ…</t>
  </si>
  <si>
    <t>http://topics.smt.docomo.ne.jp/article/golfdigest_minna/sports/golfdigest_minna-5ef491bf8979f9143bb268c935b49a4d5cdfff07?fm=latestnews</t>
  </si>
  <si>
    <t>繊維ニュース</t>
  </si>
  <si>
    <t>ダイセン株式会社</t>
  </si>
  <si>
    <t>ごえんぼう</t>
  </si>
  <si>
    <t>http://www.sen-i-news.co.jp/seninews/viewArticle.do?data.articleId=364003&amp;data.newskey=41f9a9d7f270f68e6387d8177d5bd902&amp;data.offset=0</t>
  </si>
  <si>
    <t>GQ JAPAN</t>
  </si>
  <si>
    <t>ザ・シンプソンズのハンバーガーにインスパイアされた！──アディダス「ZX 10000 クラスティバーガー」発売へ</t>
  </si>
  <si>
    <t>https://www.gqjapan.jp/fashion/article/20210211-zx-krusty-burger-news</t>
  </si>
  <si>
    <t>ジミー チュウがマリーン・セルとコラボ、三日月柄のブーツ発売</t>
  </si>
  <si>
    <t>https://www.excite.co.jp/news/article/Fashionsnap_article_2021-02-12_jimmychoo-marineserre/</t>
  </si>
  <si>
    <t>スタンスミスからアリス・クーパーまで。PALACE SKATEBOARDSの最新コラボレーションワーク</t>
  </si>
  <si>
    <t>https://mastered.jp/news/palaceskateboards-2021ss-20210212/</t>
  </si>
  <si>
    <t>ステューシーとナイキの最新コラボスニーカーは「エア ハラチ」だ！</t>
  </si>
  <si>
    <t>https://www.gqjapan.jp/fashion/article/20210212-nike-stussy-news</t>
  </si>
  <si>
    <t>https://news.line.me/articles/oa-rp67903/142054014eb0</t>
  </si>
  <si>
    <t>https://news.yahoo.co.jp/articles/0f98673c31fad81a52d0853165a2f533ae5a25ea</t>
  </si>
  <si>
    <t>ソフトテニス　「東京インドア2021ドリームマッチ」2/14開催！</t>
  </si>
  <si>
    <t>https://business.nifty.com/cs/catalog/business_release/catalog_drm0000231130_1.htm</t>
  </si>
  <si>
    <t>https://news.biglobe.ne.jp/economy/0212/dre_210212_4465372941.html</t>
  </si>
  <si>
    <t>Dream News</t>
  </si>
  <si>
    <t>グローバルインデックス株式会社</t>
  </si>
  <si>
    <t>https://www.dreamnews.jp/press/0000231130/</t>
  </si>
  <si>
    <t>https://www.excite.co.jp/news/article/Dreamnews_0000231130/</t>
  </si>
  <si>
    <t>FIDELI</t>
  </si>
  <si>
    <t>オウンドメディア株式会社</t>
  </si>
  <si>
    <t>http://press.fideli.com/d/231130/5</t>
  </si>
  <si>
    <t>http://press.fideli.com/d/231130/</t>
  </si>
  <si>
    <t>https://news.infoseek.co.jp/article/dreamnews_0000231130/</t>
  </si>
  <si>
    <t>https://www.mapion.co.jp/news/release/dn0000231130-all/</t>
  </si>
  <si>
    <t>Miyanichi e-press</t>
  </si>
  <si>
    <t>株式会社宮崎日日新聞社</t>
  </si>
  <si>
    <t>https://www.the-miyanichi.co.jp/special/dreamNews/detailep.php?id=0000231130</t>
  </si>
  <si>
    <t>SANSPO.COM</t>
  </si>
  <si>
    <t>https://www.sanspo.com/geino/news/20210212/prl21021209330016-n1.html</t>
  </si>
  <si>
    <t>SEOTOOLS</t>
  </si>
  <si>
    <t>ブラストホールディングス株式会社</t>
  </si>
  <si>
    <t>http://www.seotools.jp/news/id_0000231130.html</t>
  </si>
  <si>
    <t>StartHome</t>
  </si>
  <si>
    <t>キングソフト株式会社</t>
  </si>
  <si>
    <t>https://home.kingsoft.jp/news/pr/dreamnews/0000231130.html</t>
  </si>
  <si>
    <t>zakzak</t>
  </si>
  <si>
    <t>https://www.zakzak.co.jp/eco/news/210212/prl2102120017-n1.html</t>
  </si>
  <si>
    <t>https://news.toremaga.com/nation/notice/1779023.html</t>
  </si>
  <si>
    <t>https://news.toremaga.com/release/notice/1779023.html</t>
  </si>
  <si>
    <t>https://news.nicovideo.jp/watch/nw8927024</t>
  </si>
  <si>
    <t>徳島新聞Web</t>
  </si>
  <si>
    <t>一般社団法人徳島新聞社</t>
  </si>
  <si>
    <t>https://www.topics.or.jp/ud/pressrelease/6025cc687765613bcf0c0000</t>
  </si>
  <si>
    <t>https://www.asahi.com/and_M/pressrelease/pre_23446579/</t>
  </si>
  <si>
    <t>ダウ平均は小反落　上値追い一服も下押す気配もない＝米国株前半</t>
  </si>
  <si>
    <t>https://finance.yahoo.co.jp/news/detail/20210212-05464373-klugfx-fx</t>
  </si>
  <si>
    <t>https://fx.minkabu.jp/news/175135</t>
  </si>
  <si>
    <t>https://minkabu.jp/news/2881900</t>
  </si>
  <si>
    <t>ダウ平均は小幅安での推移　半導体製造装置に買い＝米国株後半</t>
  </si>
  <si>
    <t>https://finance.yahoo.co.jp/news/detail/20210212-05464406-klugfx-fx</t>
  </si>
  <si>
    <t>https://fx.minkabu.jp/news/175152</t>
  </si>
  <si>
    <t>https://minkabu.jp/news/2881928</t>
  </si>
  <si>
    <t>ダウ平均は横ばい　半導体製造装置が上昇　大麻株に利益確定売り強まる＝米国株概況</t>
  </si>
  <si>
    <t>https://finance.yahoo.co.jp/news/detail/20210212-05464422-klugfx-fx</t>
  </si>
  <si>
    <t>https://minkabu.jp/news/2881944</t>
  </si>
  <si>
    <t>ダウ採用銘柄　時間外取引　総じて下落、ハネウェルが０．９%超の下げ</t>
  </si>
  <si>
    <t>https://finance.yahoo.co.jp/news/detail/20210212-05471143-klugfx-fx</t>
  </si>
  <si>
    <t>https://minkabu.jp/news/2884874</t>
  </si>
  <si>
    <t>ダウ採用銘柄　時間外取引　高安まちまち、ディズニー、Ｕヘルスが堅調</t>
  </si>
  <si>
    <t>https://minkabu.jp/news/2881858</t>
  </si>
  <si>
    <t>デビッド・ベッカム、大麻ビジネスに参入へ。</t>
  </si>
  <si>
    <t>https://www.vogue.co.jp/celebrity/article/david-beckham-buys-stake-cannabinoid-firm-cellular-goods</t>
  </si>
  <si>
    <t>デビッド・ベッカムの製作会社、プーマとアディダスの創業者兄弟の不仲をドキュメンタリードラマに</t>
  </si>
  <si>
    <t>https://news.biglobe.ne.jp/entertainment/0212/cin_210212_7092816533.html</t>
  </si>
  <si>
    <t>cinemacafe.net</t>
  </si>
  <si>
    <t>https://www.cinemacafe.net/article/2021/02/12/71340.html</t>
  </si>
  <si>
    <t>https://news.line.me/articles/oa-rp31944/57b9a7bc423d</t>
  </si>
  <si>
    <t>https://news.mixi.jp/view_news.pl?id=6410281&amp;media_id=25</t>
  </si>
  <si>
    <t>https://woman.excite.co.jp/article/lifestyle/rid_Cinemacafe_71340/</t>
  </si>
  <si>
    <t>https://news.yahoo.co.jp/articles/685ff1ac6146e414b0572f7291a982fe57d92428</t>
  </si>
  <si>
    <t>https://gunosy.com/articles/evs5q</t>
  </si>
  <si>
    <t>おもちゃ屋パーク</t>
  </si>
  <si>
    <t>デンタルナイトガードマーケット2020：トッププレーヤーによる巨大な成長と最新トレンドの強化– ShockDoctor、ATI、Decathlon、Nike、Opro Mouthguards、Mueller、Venumなど</t>
  </si>
  <si>
    <t>https://www.omochaya3.com/%E3%83%87%E3%83%B3%E3%82%BF%E3%83%AB%E3%83%8A%E3%82%A4%E3%83%88%E3%82%AC%E3%83%BC%E3%83%89%E3%83%9E%E3%83%BC%E3%82%B1%E3%83%83%E3%83%882020%EF%BC%9A%E3%83%88%E3%83%83%E3%83%97%E3%83%97%E3%83%AC/</t>
  </si>
  <si>
    <t>ドイツ株11日　3日ぶり反発、アディダスが高い</t>
  </si>
  <si>
    <t>https://www.nikkei.com/article/DGXZASGR11H4J_R10C21A2000000/</t>
  </si>
  <si>
    <t>ナイキ＆アディダスの春新作スニーカー６選！【2021春トレンド】</t>
  </si>
  <si>
    <t>https://news.line.me/issue/oa-nonnomodel/jrcwn0ckuz9k</t>
  </si>
  <si>
    <t>ナイキから"ピッチ映え"彩色スパイクが発売開始!再注目はフルモデルチェンジした『マーキュリアル ヴェイパー14』</t>
  </si>
  <si>
    <t>https://www.excite.co.jp/news/article/Gekisaka_324059-324059-fl/</t>
  </si>
  <si>
    <t>https://gunosy.com/articles/ewLAw</t>
  </si>
  <si>
    <t>ゲキサカ</t>
  </si>
  <si>
    <t>https://web.gekisaka.jp/news/detail/?324059-324059-fl</t>
  </si>
  <si>
    <t>ツアージャーナル！</t>
  </si>
  <si>
    <t>ナイキの「オバマ氏限定モデル」スニーカー、２６０万円で販売へ</t>
  </si>
  <si>
    <t>http://www.tour-journal.com/%E3%81%9D%E3%81%AE%E4%BB%96/160397.html</t>
  </si>
  <si>
    <t>ナイキのNBAオールスター2021記念モデルに選ばれたのはなんと「ダンク」！</t>
  </si>
  <si>
    <t>https://news.line.me/issue/oa-andgp/o4i02rkjv9zn</t>
  </si>
  <si>
    <t>ナイキの前身「Blue Ribbon Sports」をイメージしたグラフィックを施したアイテムを販売中</t>
  </si>
  <si>
    <t>https://hashirou.com/article/page/nike-blue-ribbon-sports-items-onsale</t>
  </si>
  <si>
    <t>MonoMax</t>
  </si>
  <si>
    <t>株式会社宝島社</t>
  </si>
  <si>
    <t>ナイキ初！ パフォーマンスカテゴリーにサステナブル仕様が遂に誕生！ | MonoMax（モノマックス）／宝島社の雑誌MonoMaxの公式サイト</t>
  </si>
  <si>
    <t>https://monomax.jp/archives/86216/</t>
  </si>
  <si>
    <t>https://locari.jp/posts/1514304</t>
  </si>
  <si>
    <t>バッハを聞くと｢勉強＆読書｣がはかどる理由</t>
  </si>
  <si>
    <t>https://news.nifty.com/article/magazine/12208-962295/</t>
  </si>
  <si>
    <t>https://article.auone.jp/detail/1/3/6/7_6_r_20210212_1613102571540009</t>
  </si>
  <si>
    <t>https://news.line.me/articles/oa-rp25870/7349a9048c02</t>
  </si>
  <si>
    <t>https://news.livedoor.com/article/detail/19685136/</t>
  </si>
  <si>
    <t>https://toyokeizai.net/articles/-/404968</t>
  </si>
  <si>
    <t>バッハを聞くと｢勉強＆読書｣がはかどる理由 全米トップ脳トレーナーが教える科学的勉強法</t>
  </si>
  <si>
    <t>https://news.goo.ne.jp/article/toyokeizai/bizskills/toyokeizai-404968.html</t>
  </si>
  <si>
    <t>https://news.infoseek.co.jp/article/toyokeizai_20210212_404968</t>
  </si>
  <si>
    <t>https://news.infoseek.co.jp/article/toyokeizai_20210212_404968/</t>
  </si>
  <si>
    <t>バッハを聞くと「勉強＆読書」がはかどる理由 全米トップ脳トレーナーが教える科学的勉強法</t>
  </si>
  <si>
    <t>https://news.yahoo.co.jp/articles/af9ed579717e864b4d8a696de06e965020f7954e</t>
  </si>
  <si>
    <t>https://finance.yahoo.co.jp/news/detail/20210212-00404968-toyo-column</t>
  </si>
  <si>
    <t>バッハを聞くと｢勉強＆読書｣がはかどる理由 全米トップ脳トレーナーが教える科学的勉強法（東洋経済オンライン）同じ勉強するなら、より効率よくやりたいも…</t>
  </si>
  <si>
    <t>http://topics.smt.docomo.ne.jp/article/toyokeizai/bizskills/toyokeizai-404968?fm=latestnews</t>
  </si>
  <si>
    <t>プーマ、名作「クライド」のNBAチームカラーモデルを販売</t>
  </si>
  <si>
    <t>https://news.line.me/articles/oa-rp73180/2eac63de9ca8</t>
  </si>
  <si>
    <t>https://gunosy.com/articles/eb0l6</t>
  </si>
  <si>
    <t>The HEADLINE</t>
  </si>
  <si>
    <t>株式会社リバースタジオ</t>
  </si>
  <si>
    <t>フェミニズムの商品化、#変わる男たち を批判することは可能か</t>
  </si>
  <si>
    <t>https://www.theheadline.jp/articles/369</t>
  </si>
  <si>
    <t>Best One</t>
  </si>
  <si>
    <t>ベビーサンダルおすすめ人気ランキング20選｜男の子女の子別に紹介！おしゃれなもの・水遊び用まで</t>
  </si>
  <si>
    <t>https://thebest-1.com/a4491/</t>
  </si>
  <si>
    <t>VOGUE GIRL</t>
  </si>
  <si>
    <t>ボーイフレンドへのバレンタインギフトの参考に！　ティモシー・シャラメの愛用スポーツキャップ。</t>
  </si>
  <si>
    <t>https://voguegirl.jp/fashion/trend_fashion/20210212/timothee-chalamet-baseball-caps/</t>
  </si>
  <si>
    <t>メッシが「644」ゴール目記録のスパイクを地元美術館に寄贈...4月にチャリティオークションへ</t>
  </si>
  <si>
    <t>https://gunosy.com/articles/a5by5</t>
  </si>
  <si>
    <t>All About</t>
  </si>
  <si>
    <t>リラックス度満点！ステイホームにもぴったりな「サックドレス」</t>
  </si>
  <si>
    <t>https://allabout.co.jp/gm/gc/486984/</t>
  </si>
  <si>
    <t>https://locari.jp/posts/1542311?utm_content=content-categorised</t>
  </si>
  <si>
    <t>https://locari.jp/posts/1542311?utm_content=aside</t>
  </si>
  <si>
    <t>一枚で存在感が出るワンピ♡ギンガム柄からフリル衿まで押さえておこう！</t>
  </si>
  <si>
    <t>https://www.vivi.tv/post180034/</t>
  </si>
  <si>
    <t>世界最強バイエルン、6冠達成を決めた22人が選んだスパイク</t>
  </si>
  <si>
    <t>https://www.excite.co.jp/news/article/Gekisaka_324083-324083-fl/</t>
  </si>
  <si>
    <t>https://gunosy.com/articles/aIhy5</t>
  </si>
  <si>
    <t>https://web.gekisaka.jp/news/detail/?324083-324083-fl</t>
  </si>
  <si>
    <t>丸和運輸機関、アマゾン射止めた物流の新星</t>
  </si>
  <si>
    <t>https://www.nikkei.com/article/DGXZQOFK094L20Z00C21A2000000/</t>
  </si>
  <si>
    <t>https://www.nikkei.com/nkd/company/article/?DisplayType=1&amp;ba=1&amp;ng=DGXZQOFK094L20Z00C21A2000000&amp;scode=9064</t>
  </si>
  <si>
    <t>https://www.nikkei.com/nkd/company/article/?DisplayType=1&amp;ba=1&amp;ng=DGXZQOFK094L20Z00C21A2000000&amp;scode=9090</t>
  </si>
  <si>
    <t>https://www.nikkei.com/nkd/company/article/?DisplayType=1&amp;ba=1&amp;ng=DGXZQOFK094L20Z00C21A2000000&amp;scode=9143</t>
  </si>
  <si>
    <t>ボクシングモバイル</t>
  </si>
  <si>
    <t>株式会社キュービックス</t>
  </si>
  <si>
    <t>京口紘人がTV番組企画でCFを開設</t>
  </si>
  <si>
    <t>https://boxmob.jp/sp/news/index.html?n=1&amp;nid=26578</t>
  </si>
  <si>
    <t>https://boxmob.jp/sp/news/index.html?nid=26578&amp;type=1</t>
  </si>
  <si>
    <t>今季も豊作！ 人気ブランドの新作“厚底”スニーカー4選</t>
  </si>
  <si>
    <t>https://news.yahoo.co.jp/articles/669e0c9f40ce447868d368d303b593bb61b876ad</t>
  </si>
  <si>
    <t>今知っておくべき、注目の日本人モデル4人</t>
  </si>
  <si>
    <t>https://news.yahoo.co.jp/articles/b0f2c7fd895e9a2eeb2e45727e95ebb4af3c7b98</t>
  </si>
  <si>
    <t>AdverTimes</t>
  </si>
  <si>
    <t>株式会社宣伝会議</t>
  </si>
  <si>
    <t>優れたソーシャルプロダクツを表彰 渋谷区の「シブヤフォント」など大賞に #ブレーン</t>
  </si>
  <si>
    <t>https://www.advertimes.com/20210212/article338672/</t>
  </si>
  <si>
    <t>WEBUOMO</t>
  </si>
  <si>
    <t>https://www.webuomo.jp/fashion/118632/</t>
  </si>
  <si>
    <t>NIKKEI STYLE</t>
  </si>
  <si>
    <t>株式会社日本経済新聞社、株式会社日経BP</t>
  </si>
  <si>
    <t>快適、おしゃれ リラックスウエア　外出時はどう着るLe Dome EDIFICEルミネ横浜店　山田慎平さん</t>
  </si>
  <si>
    <t>https://style.nikkei.com/article/DGXMZO68645130Z20C21A1000000?channel=DF090520183798</t>
  </si>
  <si>
    <t>Forbes JAPAN</t>
  </si>
  <si>
    <t>株式会社アトミックスメディア</t>
  </si>
  <si>
    <t>新作購入はグラフィティアートの前で　落書きを「売り場」に変えたナイキの施策　</t>
  </si>
  <si>
    <t>https://forbesjapan.com/articles/detail/39735</t>
  </si>
  <si>
    <t>https://news.yahoo.co.jp/articles/2aef955cf136e73be5bf25db38eea934b2a2538f</t>
  </si>
  <si>
    <t>新作購入はグラフィティアートの前で 落書きを「売り場」に変えたナイキの施策</t>
  </si>
  <si>
    <t>https://gunosy.com/articles/aJLcC</t>
  </si>
  <si>
    <t>CREATORS STATION</t>
  </si>
  <si>
    <t>株式会社フェローズ</t>
  </si>
  <si>
    <t>新進気鋭のアーティスト登場「街はオレたちのキャンバスだ　ワンマイザー作品展」　大丸心斎橋店 アールグロリュー ギャラリー オブ オーサカ</t>
  </si>
  <si>
    <t>http://www.creators-station.jp/news/20210212-3</t>
  </si>
  <si>
    <t>日常にひそむヘイト　「日本に差別はない」は本当か</t>
  </si>
  <si>
    <t>https://mainichi.jp/articles/20210212/k00/00m/040/027000c</t>
  </si>
  <si>
    <t>星野源の新曲「創造」スーパーマリオブラザーズ35周年テーマソング</t>
  </si>
  <si>
    <t>https://news.livedoor.com/article/detail/19685953/</t>
  </si>
  <si>
    <t>30min.</t>
  </si>
  <si>
    <t>暗くなった渋谷の街を明るくしたい!"ボタンフラワー"でお花見しよう!SHUN SUDOのアートが西武渋谷店に登場</t>
  </si>
  <si>
    <t>https://30min.jp/release/prtimes/detail/205416</t>
  </si>
  <si>
    <t>暗くなった渋谷の街を明るくしたい！"ボタンフラワー"でお花見しよう！SHUN SUDOのアートが西武渋谷店に登場</t>
  </si>
  <si>
    <t>https://yab.yomiuri.co.jp/adv/feature/release/detail/000000772000031382.html</t>
  </si>
  <si>
    <t>https://dime.jp/company_news/detail/?pr=773051</t>
  </si>
  <si>
    <t>https://business.nifty.com/cs/catalog/business_release/catalog_prt000000772000031382_1.htm</t>
  </si>
  <si>
    <t>https://news.allabout.co.jp/articles/p/000000772.000031382/</t>
  </si>
  <si>
    <t>https://www.kk-bestsellers.com/articles/-/press_release/833398/</t>
  </si>
  <si>
    <t>https://news.biglobe.ne.jp/economy/0212/prt_210212_4241806345.html</t>
  </si>
  <si>
    <t>https://b2b-ch.infomart.co.jp/news/detail.page?IMNEWS4=2405040</t>
  </si>
  <si>
    <t>CREA WEB</t>
  </si>
  <si>
    <t>https://crea.bunshun.jp/ud/pressrelease/6026637c7765612af5000000</t>
  </si>
  <si>
    <t>https://news.cube-soft.jp/release/730026</t>
  </si>
  <si>
    <t>https://www.excite.co.jp/news/article/Prtimes_2021-02-12-31382-772/</t>
  </si>
  <si>
    <t>https://news.infoseek.co.jp/article/prtimes_000000772_000031382/</t>
  </si>
  <si>
    <t>https://jbpress.ismedia.jp/ud/pressrelease/6026638c776561807c030000</t>
  </si>
  <si>
    <t>https://www.newscafe.ne.jp/release/prtimes2/20210212/641802.html</t>
  </si>
  <si>
    <t>https://prtimes.jp/main/html/rd/p/000000772.000031382.html</t>
  </si>
  <si>
    <t>https://straightpress.jp/company_news/detail?pr=000000772.000031382</t>
  </si>
  <si>
    <t>Traicy</t>
  </si>
  <si>
    <t>http://release.traicy.com/posts/20210212277468/</t>
  </si>
  <si>
    <t>http://www.iza.ne.jp/kiji/pressrelease/news/210212/prl21021220100879-n1.html</t>
  </si>
  <si>
    <t>https://ure.pia.co.jp/articles/-/953568</t>
  </si>
  <si>
    <t>https://ure.pia.co.jp/articles/-/953595</t>
  </si>
  <si>
    <t>https://news.toremaga.com/release/others/1780187.html</t>
  </si>
  <si>
    <t>https://news.nicovideo.jp/watch/nw8930530</t>
  </si>
  <si>
    <t>https://www.jiji.com/jc/article?g=prt&amp;k=000000772.000031382</t>
  </si>
  <si>
    <t>暮らしニスタ</t>
  </si>
  <si>
    <t>株式会社主婦の友社</t>
  </si>
  <si>
    <t>https://kurashinista.jp/pressrelease/detail/229719</t>
  </si>
  <si>
    <t>https://www.asahi.com/and_M/pressrelease/pre_23477317/</t>
  </si>
  <si>
    <t>https://toyokeizai.net/ud/pressrelease/602667a37765616c6d030000</t>
  </si>
  <si>
    <t>https://gendai.ismedia.jp/ud/pressrelease/602667ce7765619318050000</t>
  </si>
  <si>
    <t>https://www.zaikei.co.jp/releases/1216994/</t>
  </si>
  <si>
    <t>朝に強い人は何してる？　モーニングルーティンを覗き見</t>
  </si>
  <si>
    <t>https://news.yahoo.co.jp/articles/cbf5ed528e7cb70e74f89ad642a42b5eb7626ef3</t>
  </si>
  <si>
    <t>東京デザインスタジオ ニューバランスとスノーピークのコラボ新作、ソックスが初登場</t>
  </si>
  <si>
    <t>https://www.excite.co.jp/news/article/Fashionsnap_article_2021-02-12_tokyodesignstudionb-snowpeak3/</t>
  </si>
  <si>
    <t>東京五輪ウエルター級代表の岡沢 プロとガチンコ対決</t>
  </si>
  <si>
    <t>https://gunosy.com/articles/aiQZ3</t>
  </si>
  <si>
    <t>デイリースポーツ online</t>
  </si>
  <si>
    <t>株式会社デイリースポーツ</t>
  </si>
  <si>
    <t>東京五輪ウエルター級代表の岡沢　プロとガチンコ対決</t>
  </si>
  <si>
    <t>https://www.daily.co.jp/ring/2021/02/12/0014073439.shtml</t>
  </si>
  <si>
    <t>東京五輪ウエルター級代表の岡沢　プロとガチンコ対決 | 相撲・格闘技 | スポーツブル (スポブル)</t>
  </si>
  <si>
    <t>https://sportsbull.jp/p/948159/</t>
  </si>
  <si>
    <t>東急スポーツシステム株式会社【東急SレイエスFC】レイエスオリジナルグッズ新商品発売！</t>
  </si>
  <si>
    <t>https://news.fresheye.com/article/fenwnews2/1000003/20210212120000_pr_pr000000058-000059271/a/index.html</t>
  </si>
  <si>
    <t>https://news.fresheye.com/article/fenwnews2/1000003/20210212181153_pr_pr000000772-000031382/a/index.html</t>
  </si>
  <si>
    <t>株式会社テクストトレーディングカンパニーatmosより、過去のNIKE AIR MAXの名作をデザインに落とし込んだ最新作「NIKE VAPOR MAX EVO NRG」が発売。</t>
  </si>
  <si>
    <t>https://news.fresheye.com/article/fenwnews2/1000003/20210212130430_pr_pr000000099-000063811/a/index.html</t>
  </si>
  <si>
    <t>株式会社ルーセントソフトテニス　「東京インドア2021ドリームマッチ」2/14開催！</t>
  </si>
  <si>
    <t>https://news.fresheye.com/article/fenwnews2/1000005/20210212090000_dn_pr0000231130/a/index.html</t>
  </si>
  <si>
    <t>森おろし・BLM・天皇機関説事件</t>
  </si>
  <si>
    <t>https://note.com/prof_nemuro/n/na80513b0063f</t>
  </si>
  <si>
    <t>楽ちんコーデもお似合い♡BTSの「カジュアルスタイル」20</t>
  </si>
  <si>
    <t>https://gunosy.com/articles/eFdaI</t>
  </si>
  <si>
    <t>コスモポリタン</t>
  </si>
  <si>
    <t>https://www.cosmopolitan.com/jp/beauty-fashion/fashion/g35145665/bts-casual-styles/</t>
  </si>
  <si>
    <t>TRADER'S WEB FX</t>
  </si>
  <si>
    <t>株式会社DZHフィナンシャルリサーチ</t>
  </si>
  <si>
    <t>欧州マーケットダイジェスト・11日　株高・金利低下・円安</t>
  </si>
  <si>
    <t>https://www.traderswebfx.jp/news/news.aspx?newscode=860712</t>
  </si>
  <si>
    <t>https://finance.yahoo.co.jp/news/detail/20210212-00000013-dzh-fx</t>
  </si>
  <si>
    <t>欧州株　全般に軟調地合い目立つもヘルスケアなどがしっかり</t>
  </si>
  <si>
    <t>https://finance.yahoo.co.jp/news/detail/20210212-05470977-klugfx-fx</t>
  </si>
  <si>
    <t>https://fx.minkabu.jp/news/175252</t>
  </si>
  <si>
    <t>https://minkabu.jp/news/2884724</t>
  </si>
  <si>
    <t>白スニーカーでワントーン！ゆるレイヤードも洒落る【明日のコーデ】</t>
  </si>
  <si>
    <t>https://magacol.jp/2021/02/12/423455.html</t>
  </si>
  <si>
    <t>https://trilltrill.jp/articles/1790901</t>
  </si>
  <si>
    <t>VERY</t>
  </si>
  <si>
    <t>https://veryweb.jp/fashion/161390/</t>
  </si>
  <si>
    <t>FASHION BOX</t>
  </si>
  <si>
    <t>真冬の私服コーデをチェック♡ スウィートモデル6人は何着てる？</t>
  </si>
  <si>
    <t>https://fashionbox.tkj.jp/archives/1617255</t>
  </si>
  <si>
    <t>https://news.livedoor.com/article/detail/19684629/</t>
  </si>
  <si>
    <t>美少女戦士セーラームーンコラボ♡ 春色の着まわしワードローブ</t>
  </si>
  <si>
    <t>https://news.line.me/issue/oa-withonline/x0h3qyyci61h</t>
  </si>
  <si>
    <t>自主制作の短編映画「人（ひと）」の制作・プロモーション支援プロジェクトとして、トークン発行型ファンディング開始！</t>
  </si>
  <si>
    <t>http://www.creators-station.jp/news/20210212-2</t>
  </si>
  <si>
    <t>著者：タカキ・ポール・ツネオ「Pちゃん」自費出版プロジェクトに関するクラウドファンディング資金募集開始　</t>
  </si>
  <si>
    <t>https://news.fresheye.com/article/fenwnews2/1000003/20210212132255_pr_pr000000001-000074171/a/index.html</t>
  </si>
  <si>
    <t>親子で稼ぐ！超リッチなハリウッドセレブ母娘ランキングTOP3</t>
  </si>
  <si>
    <t>https://news.yahoo.co.jp/articles/5b48640019a8fa12f066ee80b8ca46a9e69b1a9a</t>
  </si>
  <si>
    <t>足元から気分を上げる！「カラースニーカー」でコーデをアップデート</t>
  </si>
  <si>
    <t>https://kinarino.jp/cat1-%E3%83%95%E3%82%A1%E3%83%83%E3%82%B7%E3%83%A7%E3%83%B3/42331-%E8%B6%B3%E5%85%83%E3%81%8B%E3%82%89%E6%B0%97%E5%88%86%E3%82%92%E4%B8%8A%E3%81%92%E3%82%8B%EF%BC%81%E3%80%8C%E3%82%AB%E3%83%A9%E3%83%BC%E3%82%B9%E3%83%8B%E3%83%BC%E3%82%AB%E3%83%BC%E3%80%8D%E3%81%A7%E3%82%B3%E3%83%BC%E3%83%87%E3%82%92%E3%82%A2%E3%83%83%E3%83%97%E3%83%87%E3%83%BC%E3%83%88</t>
  </si>
  <si>
    <t>https://kinarino.jp/cat1-%E3%83%95%E3%82%A1%E3%83%83%E3%82%B7%E3%83%A7%E3%83%B3/42331-%E8%B6%B3%E5%85%83%E3%81%8B%E3%82%89%E6%B0%97%E5%88%86%E3%82%92%E4%B8%8A%E3%81%92%E3%82%8B%EF%BC%81%E3%80%8C%E3%82%AB%E3%83%A9%E3%83%BC%E3%82%B9%E3%83%8B%E3%83%BC%E3%82%AB%E3%83%BC%E3%80%8D%E3%81%A7%E3%82%B3%E3%83%BC%E3%83%87%E3%82%92%E3%82%A2%E3%83%83%E3%83%97%E3%83%87%E3%83%BC%E3%83%88?lid=top_select_right</t>
  </si>
  <si>
    <t>過去の名作を1足に集約。『NIKE VAPOR MAX EVO NRG』が2月18日に発売</t>
  </si>
  <si>
    <t>https://mastered.jp/news/nike-vapormaxevonrg-20210218/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</si>
</sst>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8">
    <font>
      <sz val="11"/>
      <color theme="1"/>
      <name val="ＭＳ Ｐゴシック"/>
      <family val="2"/>
      <scheme val="minor"/>
    </font>
    <font>
      <sz val="8"/>
      <name val="Calibri"/>
      <family val="2"/>
    </font>
    <font>
      <sz val="6"/>
      <name val="ＭＳ Ｐゴシック"/>
      <family val="3"/>
      <charset val="128"/>
      <scheme val="minor"/>
    </font>
    <font>
      <u/>
      <sz val="11"/>
      <color theme="10"/>
      <name val="ＭＳ Ｐゴシック"/>
      <family val="2"/>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2"/>
      <scheme val="minor"/>
    </font>
    <font>
      <b/>
      <sz val="11"/>
      <color theme="6" tint="-0.249977111117893"/>
      <name val="ＭＳ Ｐゴシック"/>
      <family val="3"/>
      <charset val="128"/>
      <scheme val="minor"/>
    </font>
  </fonts>
  <fills count="7">
    <fill>
      <patternFill patternType="none"/>
    </fill>
    <fill>
      <patternFill patternType="gray125"/>
    </fill>
    <fill>
      <patternFill patternType="solid">
        <fgColor theme="1" tint="0.249977111117893"/>
        <bgColor rgb="FF000000"/>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6" tint="0.59999389629810485"/>
        <bgColor rgb="FF000000"/>
      </patternFill>
    </fill>
    <fill>
      <patternFill patternType="solid">
        <fgColor rgb="FFFFE38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0" fillId="0" borderId="0" xfId="0" applyFill="1"/>
    <xf numFmtId="0" fontId="4" fillId="2" borderId="2"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Fill="1" applyBorder="1" applyAlignment="1">
      <alignment horizontal="left" vertical="center"/>
    </xf>
    <xf numFmtId="0" fontId="3" fillId="0" borderId="1" xfId="1" applyFill="1" applyBorder="1" applyAlignment="1">
      <alignment horizontal="center" vertical="center"/>
    </xf>
    <xf numFmtId="176" fontId="0" fillId="0" borderId="1" xfId="0" applyNumberFormat="1" applyFill="1" applyBorder="1" applyAlignment="1">
      <alignment horizontal="center" vertical="center"/>
    </xf>
    <xf numFmtId="0" fontId="6" fillId="0" borderId="0" xfId="0" applyFont="1" applyFill="1"/>
    <xf numFmtId="0" fontId="0" fillId="3" borderId="1" xfId="0" applyFill="1" applyBorder="1" applyAlignment="1">
      <alignment horizontal="center" vertical="center" wrapText="1"/>
    </xf>
    <xf numFmtId="0" fontId="0" fillId="0" borderId="1" xfId="0" applyFill="1" applyBorder="1" applyAlignment="1">
      <alignment horizontal="center" vertical="center"/>
    </xf>
    <xf numFmtId="0" fontId="0" fillId="5" borderId="1" xfId="0" applyFill="1" applyBorder="1" applyAlignment="1">
      <alignment horizontal="center" vertical="center" wrapText="1"/>
    </xf>
    <xf numFmtId="0" fontId="4" fillId="2" borderId="2" xfId="0" applyFont="1" applyFill="1" applyBorder="1" applyAlignment="1">
      <alignment vertical="center" wrapText="1"/>
    </xf>
    <xf numFmtId="49" fontId="0" fillId="0" borderId="1" xfId="0" applyNumberFormat="1" applyFill="1" applyBorder="1" applyAlignment="1">
      <alignment horizontal="left" vertical="center"/>
    </xf>
    <xf numFmtId="49" fontId="0" fillId="0" borderId="0" xfId="0" applyNumberFormat="1" applyFill="1"/>
    <xf numFmtId="49" fontId="0" fillId="0" borderId="0" xfId="0" applyNumberFormat="1"/>
    <xf numFmtId="0" fontId="0" fillId="0" borderId="0" xfId="0" applyNumberFormat="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5" fillId="0" borderId="1" xfId="0" applyNumberFormat="1" applyFont="1" applyFill="1" applyBorder="1" applyAlignment="1">
      <alignment vertical="center"/>
    </xf>
    <xf numFmtId="0" fontId="0" fillId="0" borderId="1" xfId="0" applyNumberFormat="1" applyBorder="1" applyAlignment="1">
      <alignment vertical="center"/>
    </xf>
    <xf numFmtId="0" fontId="5" fillId="0" borderId="1" xfId="0" applyNumberFormat="1" applyFont="1" applyFill="1" applyBorder="1" applyAlignment="1">
      <alignment horizontal="left" vertical="center"/>
    </xf>
    <xf numFmtId="176" fontId="0" fillId="6" borderId="1" xfId="0" applyNumberFormat="1" applyFill="1" applyBorder="1" applyAlignment="1">
      <alignment horizontal="center" vertical="center"/>
    </xf>
    <xf numFmtId="49" fontId="0" fillId="6" borderId="1" xfId="0" applyNumberFormat="1" applyFill="1" applyBorder="1" applyAlignment="1">
      <alignment horizontal="left" vertical="center"/>
    </xf>
    <xf numFmtId="0" fontId="0" fillId="6" borderId="1" xfId="0" applyFill="1" applyBorder="1" applyAlignment="1">
      <alignment horizontal="left" vertical="center"/>
    </xf>
    <xf numFmtId="0" fontId="3" fillId="6" borderId="1" xfId="1" applyFill="1" applyBorder="1" applyAlignment="1">
      <alignment horizontal="center" vertical="center"/>
    </xf>
    <xf numFmtId="0" fontId="0" fillId="6" borderId="1" xfId="0" applyFill="1" applyBorder="1" applyAlignment="1">
      <alignment horizontal="center" vertical="center"/>
    </xf>
  </cellXfs>
  <cellStyles count="2">
    <cellStyle name="ハイパーリンク" xfId="1" builtinId="8"/>
    <cellStyle name="標準"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FFE389"/>
      <color rgb="FFFFE3B9"/>
      <color rgb="FFFF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1693333</xdr:colOff>
      <xdr:row>2</xdr:row>
      <xdr:rowOff>101600</xdr:rowOff>
    </xdr:from>
    <xdr:to>
      <xdr:col>5</xdr:col>
      <xdr:colOff>20108</xdr:colOff>
      <xdr:row>2</xdr:row>
      <xdr:rowOff>447675</xdr:rowOff>
    </xdr:to>
    <xdr:sp macro="" textlink="">
      <xdr:nvSpPr>
        <xdr:cNvPr id="2" name="四角形吹き出し 1">
          <a:extLst>
            <a:ext uri="{FF2B5EF4-FFF2-40B4-BE49-F238E27FC236}">
              <a16:creationId xmlns:a16="http://schemas.microsoft.com/office/drawing/2014/main" id="{3919C35D-45EC-C14C-856F-0BFDC64A893F}"/>
            </a:ext>
          </a:extLst>
        </xdr:cNvPr>
        <xdr:cNvSpPr/>
      </xdr:nvSpPr>
      <xdr:spPr>
        <a:xfrm>
          <a:off x="5300133" y="1016000"/>
          <a:ext cx="3626908" cy="346075"/>
        </a:xfrm>
        <a:prstGeom prst="wedgeRectCallout">
          <a:avLst>
            <a:gd name="adj1" fmla="val -33429"/>
            <a:gd name="adj2" fmla="val 21966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最新の報告分は色付けして報告されます</a:t>
          </a:r>
        </a:p>
      </xdr:txBody>
    </xdr:sp>
    <xdr:clientData/>
  </xdr:twoCellAnchor>
  <xdr:twoCellAnchor>
    <xdr:from>
      <xdr:col>8</xdr:col>
      <xdr:colOff>84666</xdr:colOff>
      <xdr:row>7</xdr:row>
      <xdr:rowOff>169332</xdr:rowOff>
    </xdr:from>
    <xdr:to>
      <xdr:col>13</xdr:col>
      <xdr:colOff>84666</xdr:colOff>
      <xdr:row>13</xdr:row>
      <xdr:rowOff>84665</xdr:rowOff>
    </xdr:to>
    <xdr:sp macro="" textlink="">
      <xdr:nvSpPr>
        <xdr:cNvPr id="3" name="四角形吹き出し 2">
          <a:extLst>
            <a:ext uri="{FF2B5EF4-FFF2-40B4-BE49-F238E27FC236}">
              <a16:creationId xmlns:a16="http://schemas.microsoft.com/office/drawing/2014/main" id="{D5EF34C4-A6B7-464B-A566-231615C8CC66}"/>
            </a:ext>
          </a:extLst>
        </xdr:cNvPr>
        <xdr:cNvSpPr/>
      </xdr:nvSpPr>
      <xdr:spPr>
        <a:xfrm>
          <a:off x="12852399" y="2539999"/>
          <a:ext cx="4047067" cy="1032933"/>
        </a:xfrm>
        <a:prstGeom prst="wedgeRectCallout">
          <a:avLst>
            <a:gd name="adj1" fmla="val -8053"/>
            <a:gd name="adj2" fmla="val -8925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キュレーションメディアに採り上げられた場合、</a:t>
          </a:r>
          <a:endParaRPr kumimoji="1" lang="en-US" altLang="ja-JP" sz="1400" b="1">
            <a:solidFill>
              <a:srgbClr val="FF0000"/>
            </a:solidFill>
          </a:endParaRPr>
        </a:p>
        <a:p>
          <a:pPr algn="ctr"/>
          <a:r>
            <a:rPr kumimoji="1" lang="ja-JP" altLang="en-US" sz="1400" b="1">
              <a:solidFill>
                <a:srgbClr val="FF0000"/>
              </a:solidFill>
            </a:rPr>
            <a:t>キュレーション先を特定する○がつきます</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33"/>
  <sheetViews>
    <sheetView showGridLines="0" tabSelected="1" zoomScale="75" zoomScaleNormal="75" workbookViewId="0">
      <pane ySplit="4" topLeftCell="A5" activePane="bottomLeft" state="frozen"/>
      <selection pane="bottomLeft"/>
    </sheetView>
  </sheetViews>
  <sheetFormatPr baseColWidth="10" defaultColWidth="11" defaultRowHeight="14"/>
  <cols>
    <col min="1" max="2" width="11.6640625" customWidth="1"/>
    <col min="3" max="4" width="23.6640625" style="15" customWidth="1"/>
    <col min="5" max="5" width="45.6640625" customWidth="1"/>
    <col min="6" max="6" width="23.6640625" customWidth="1"/>
    <col min="7" max="7" width="18.1640625" customWidth="1"/>
    <col min="8" max="9" width="8.6640625" customWidth="1"/>
    <col min="10" max="12" width="11" customWidth="1"/>
  </cols>
  <sheetData>
    <row r="1" spans="1:11" s="3" customFormat="1" ht="36" customHeight="1">
      <c r="A1" s="2" t="s">
        <v>1</v>
      </c>
      <c r="B1" s="22" t="s">
        <v>12</v>
      </c>
      <c r="C1" s="22"/>
      <c r="D1" s="22"/>
      <c r="E1" s="23"/>
    </row>
    <row r="2" spans="1:11" s="3" customFormat="1" ht="36" customHeight="1">
      <c r="A2" s="12" t="s">
        <v>7</v>
      </c>
      <c r="B2" s="24">
        <v>618</v>
      </c>
      <c r="C2" s="24"/>
      <c r="D2" s="24"/>
      <c r="E2" s="23"/>
    </row>
    <row r="3" spans="1:11" s="3" customFormat="1" ht="36" customHeight="1">
      <c r="B3" s="16"/>
      <c r="C3" s="16"/>
      <c r="D3" s="16"/>
      <c r="E3" s="16"/>
      <c r="J3" s="17" t="s">
        <v>6</v>
      </c>
      <c r="K3" s="18"/>
    </row>
    <row r="4" spans="1:11" s="4" customFormat="1" ht="35.25" customHeight="1">
      <c r="A4" s="9" t="s">
        <v>4</v>
      </c>
      <c r="B4" s="19" t="s">
        <v>5</v>
      </c>
      <c r="C4" s="19" t="s">
        <v>8</v>
      </c>
      <c r="D4" s="19" t="s">
        <v>10</v>
      </c>
      <c r="E4" s="19" t="s">
        <v>2</v>
      </c>
      <c r="F4" s="9" t="s">
        <v>9</v>
      </c>
      <c r="G4" s="9" t="s">
        <v>11</v>
      </c>
      <c r="H4" s="20" t="s">
        <v>3</v>
      </c>
      <c r="I4" s="21"/>
      <c r="J4" s="11" t="s">
        <v>13</v>
      </c>
      <c r="K4" s="11" t="s">
        <v>14</v>
      </c>
    </row>
    <row r="5" spans="1:11">
      <c r="A5" s="25" t="s">
        <v>15</v>
      </c>
      <c r="B5" s="25" t="s">
        <v>16</v>
      </c>
      <c r="C5" s="26" t="s">
        <v>17</v>
      </c>
      <c r="D5" s="26" t="s">
        <v>18</v>
      </c>
      <c r="E5" s="27" t="s">
        <v>19</v>
      </c>
      <c r="F5" s="27" t="s">
        <v>20</v>
      </c>
      <c r="G5" s="27" t="s">
        <v>21</v>
      </c>
      <c r="H5" s="27" t="s">
        <v>22</v>
      </c>
      <c r="I5" s="28" t="str">
        <f>HYPERLINK("https://president.jp/ud/pressrelease/602888057765615e5d090000","URLを開く")</f>
        <v>URLを開く</v>
      </c>
      <c r="J5" s="29" t="s">
        <v>23</v>
      </c>
      <c r="K5" s="29" t="s">
        <v>23</v>
      </c>
    </row>
    <row r="6" spans="1:11">
      <c r="A6" s="25" t="s">
        <v>15</v>
      </c>
      <c r="B6" s="25" t="s">
        <v>16</v>
      </c>
      <c r="C6" s="26" t="s">
        <v>24</v>
      </c>
      <c r="D6" s="26" t="s">
        <v>25</v>
      </c>
      <c r="E6" s="27" t="s">
        <v>26</v>
      </c>
      <c r="F6" s="27" t="s">
        <v>20</v>
      </c>
      <c r="G6" s="27" t="s">
        <v>27</v>
      </c>
      <c r="H6" s="27" t="s">
        <v>28</v>
      </c>
      <c r="I6" s="28" t="str">
        <f>HYPERLINK("https://safarilounge.jp/online/fashion/detail.php?id=6796","URLを開く")</f>
        <v>URLを開く</v>
      </c>
      <c r="J6" s="29" t="s">
        <v>23</v>
      </c>
      <c r="K6" s="29" t="s">
        <v>29</v>
      </c>
    </row>
    <row r="7" spans="1:11">
      <c r="A7" s="25" t="s">
        <v>15</v>
      </c>
      <c r="B7" s="25" t="s">
        <v>16</v>
      </c>
      <c r="C7" s="26" t="s">
        <v>30</v>
      </c>
      <c r="D7" s="26" t="s">
        <v>31</v>
      </c>
      <c r="E7" s="27" t="s">
        <v>32</v>
      </c>
      <c r="F7" s="27" t="s">
        <v>20</v>
      </c>
      <c r="G7" s="27" t="s">
        <v>33</v>
      </c>
      <c r="H7" s="27" t="s">
        <v>34</v>
      </c>
      <c r="I7" s="28" t="str">
        <f>HYPERLINK("https://antenna.jp/articles/12505842","URLを開く")</f>
        <v>URLを開く</v>
      </c>
      <c r="J7" s="29" t="s">
        <v>23</v>
      </c>
      <c r="K7" s="29" t="s">
        <v>23</v>
      </c>
    </row>
    <row r="8" spans="1:11">
      <c r="A8" s="25" t="s">
        <v>15</v>
      </c>
      <c r="B8" s="25" t="s">
        <v>16</v>
      </c>
      <c r="C8" s="26" t="s">
        <v>35</v>
      </c>
      <c r="D8" s="26" t="s">
        <v>36</v>
      </c>
      <c r="E8" s="27" t="s">
        <v>37</v>
      </c>
      <c r="F8" s="27" t="s">
        <v>20</v>
      </c>
      <c r="G8" s="27" t="s">
        <v>27</v>
      </c>
      <c r="H8" s="27" t="s">
        <v>38</v>
      </c>
      <c r="I8" s="28" t="str">
        <f>HYPERLINK("http://www.webleague.net/information/news/13214.html","URLを開く")</f>
        <v>URLを開く</v>
      </c>
      <c r="J8" s="29" t="s">
        <v>23</v>
      </c>
      <c r="K8" s="29" t="s">
        <v>23</v>
      </c>
    </row>
    <row r="9" spans="1:11">
      <c r="A9" s="25" t="s">
        <v>15</v>
      </c>
      <c r="B9" s="25" t="s">
        <v>16</v>
      </c>
      <c r="C9" s="26" t="s">
        <v>35</v>
      </c>
      <c r="D9" s="26" t="s">
        <v>36</v>
      </c>
      <c r="E9" s="27" t="s">
        <v>39</v>
      </c>
      <c r="F9" s="27" t="s">
        <v>40</v>
      </c>
      <c r="G9" s="27" t="s">
        <v>27</v>
      </c>
      <c r="H9" s="27" t="s">
        <v>41</v>
      </c>
      <c r="I9" s="28" t="str">
        <f>HYPERLINK("http://www.webleague.net/information/news/13212.html","URLを開く")</f>
        <v>URLを開く</v>
      </c>
      <c r="J9" s="29" t="s">
        <v>23</v>
      </c>
      <c r="K9" s="29" t="s">
        <v>23</v>
      </c>
    </row>
    <row r="10" spans="1:11">
      <c r="A10" s="25" t="s">
        <v>15</v>
      </c>
      <c r="B10" s="25" t="s">
        <v>16</v>
      </c>
      <c r="C10" s="26" t="s">
        <v>42</v>
      </c>
      <c r="D10" s="26" t="s">
        <v>43</v>
      </c>
      <c r="E10" s="27" t="s">
        <v>44</v>
      </c>
      <c r="F10" s="27" t="s">
        <v>40</v>
      </c>
      <c r="G10" s="27" t="s">
        <v>33</v>
      </c>
      <c r="H10" s="27" t="s">
        <v>45</v>
      </c>
      <c r="I10" s="28" t="str">
        <f>HYPERLINK("https://news.line.me/issue/oa-huffpost/chcwxi9hhijt","URLを開く")</f>
        <v>URLを開く</v>
      </c>
      <c r="J10" s="29" t="s">
        <v>23</v>
      </c>
      <c r="K10" s="29" t="s">
        <v>23</v>
      </c>
    </row>
    <row r="11" spans="1:11">
      <c r="A11" s="25" t="s">
        <v>15</v>
      </c>
      <c r="B11" s="25" t="s">
        <v>16</v>
      </c>
      <c r="C11" s="26" t="s">
        <v>46</v>
      </c>
      <c r="D11" s="26" t="s">
        <v>47</v>
      </c>
      <c r="E11" s="27" t="s">
        <v>44</v>
      </c>
      <c r="F11" s="27" t="s">
        <v>40</v>
      </c>
      <c r="G11" s="27" t="s">
        <v>33</v>
      </c>
      <c r="H11" s="27" t="s">
        <v>48</v>
      </c>
      <c r="I11" s="28" t="str">
        <f>HYPERLINK(" "," ")</f>
        <v xml:space="preserve"> </v>
      </c>
      <c r="J11" s="29" t="s">
        <v>23</v>
      </c>
      <c r="K11" s="29" t="s">
        <v>23</v>
      </c>
    </row>
    <row r="12" spans="1:11">
      <c r="A12" s="25" t="s">
        <v>15</v>
      </c>
      <c r="B12" s="25" t="s">
        <v>16</v>
      </c>
      <c r="C12" s="26" t="s">
        <v>46</v>
      </c>
      <c r="D12" s="26" t="s">
        <v>47</v>
      </c>
      <c r="E12" s="27" t="s">
        <v>44</v>
      </c>
      <c r="F12" s="27" t="s">
        <v>40</v>
      </c>
      <c r="G12" s="27" t="s">
        <v>33</v>
      </c>
      <c r="H12" s="27" t="s">
        <v>49</v>
      </c>
      <c r="I12" s="28" t="str">
        <f>HYPERLINK(" "," ")</f>
        <v xml:space="preserve"> </v>
      </c>
      <c r="J12" s="29" t="s">
        <v>23</v>
      </c>
      <c r="K12" s="29" t="s">
        <v>23</v>
      </c>
    </row>
    <row r="13" spans="1:11">
      <c r="A13" s="25" t="s">
        <v>15</v>
      </c>
      <c r="B13" s="25" t="s">
        <v>16</v>
      </c>
      <c r="C13" s="26" t="s">
        <v>50</v>
      </c>
      <c r="D13" s="26" t="s">
        <v>51</v>
      </c>
      <c r="E13" s="27" t="s">
        <v>44</v>
      </c>
      <c r="F13" s="27" t="s">
        <v>40</v>
      </c>
      <c r="G13" s="27" t="s">
        <v>33</v>
      </c>
      <c r="H13" s="27" t="s">
        <v>52</v>
      </c>
      <c r="I13" s="28" t="str">
        <f>HYPERLINK("https://news.yahoo.co.jp/articles/b6b77f510d0f3a5aeb06f932ad95ca288bf9469a","URLを開く")</f>
        <v>URLを開く</v>
      </c>
      <c r="J13" s="29" t="s">
        <v>23</v>
      </c>
      <c r="K13" s="29" t="s">
        <v>23</v>
      </c>
    </row>
    <row r="14" spans="1:11">
      <c r="A14" s="25" t="s">
        <v>15</v>
      </c>
      <c r="B14" s="25" t="s">
        <v>16</v>
      </c>
      <c r="C14" s="26" t="s">
        <v>35</v>
      </c>
      <c r="D14" s="26" t="s">
        <v>36</v>
      </c>
      <c r="E14" s="27" t="s">
        <v>53</v>
      </c>
      <c r="F14" s="27" t="s">
        <v>20</v>
      </c>
      <c r="G14" s="27" t="s">
        <v>27</v>
      </c>
      <c r="H14" s="27" t="s">
        <v>54</v>
      </c>
      <c r="I14" s="28" t="str">
        <f>HYPERLINK("http://www.webleague.net/information/news/13213.html","URLを開く")</f>
        <v>URLを開く</v>
      </c>
      <c r="J14" s="29" t="s">
        <v>23</v>
      </c>
      <c r="K14" s="29" t="s">
        <v>23</v>
      </c>
    </row>
    <row r="15" spans="1:11">
      <c r="A15" s="25" t="s">
        <v>15</v>
      </c>
      <c r="B15" s="25" t="s">
        <v>16</v>
      </c>
      <c r="C15" s="26" t="s">
        <v>55</v>
      </c>
      <c r="D15" s="26" t="s">
        <v>56</v>
      </c>
      <c r="E15" s="27" t="s">
        <v>57</v>
      </c>
      <c r="F15" s="27" t="s">
        <v>58</v>
      </c>
      <c r="G15" s="27" t="s">
        <v>27</v>
      </c>
      <c r="H15" s="27" t="s">
        <v>59</v>
      </c>
      <c r="I15" s="28" t="str">
        <f>HYPERLINK("https://kurashi-no.jp/I0030824","URLを開く")</f>
        <v>URLを開く</v>
      </c>
      <c r="J15" s="29" t="s">
        <v>23</v>
      </c>
      <c r="K15" s="29" t="s">
        <v>23</v>
      </c>
    </row>
    <row r="16" spans="1:11">
      <c r="A16" s="25" t="s">
        <v>15</v>
      </c>
      <c r="B16" s="25" t="s">
        <v>16</v>
      </c>
      <c r="C16" s="26" t="s">
        <v>60</v>
      </c>
      <c r="D16" s="26" t="s">
        <v>61</v>
      </c>
      <c r="E16" s="27" t="s">
        <v>62</v>
      </c>
      <c r="F16" s="27" t="s">
        <v>20</v>
      </c>
      <c r="G16" s="27" t="s">
        <v>27</v>
      </c>
      <c r="H16" s="27" t="s">
        <v>63</v>
      </c>
      <c r="I16" s="28" t="str">
        <f>HYPERLINK("https://www.fashionsnap.com/article/roundup2021february14/","URLを開く")</f>
        <v>URLを開く</v>
      </c>
      <c r="J16" s="29" t="s">
        <v>29</v>
      </c>
      <c r="K16" s="29" t="s">
        <v>23</v>
      </c>
    </row>
    <row r="17" spans="1:11">
      <c r="A17" s="25" t="s">
        <v>15</v>
      </c>
      <c r="B17" s="25" t="s">
        <v>16</v>
      </c>
      <c r="C17" s="26" t="s">
        <v>50</v>
      </c>
      <c r="D17" s="26" t="s">
        <v>51</v>
      </c>
      <c r="E17" s="27" t="s">
        <v>64</v>
      </c>
      <c r="F17" s="27" t="s">
        <v>65</v>
      </c>
      <c r="G17" s="27" t="s">
        <v>33</v>
      </c>
      <c r="H17" s="27" t="s">
        <v>66</v>
      </c>
      <c r="I17" s="28" t="str">
        <f>HYPERLINK("https://news.yahoo.co.jp/articles/9c2aa11d05d0e0668a49f8ef2dcbe9b48bb464cf","URLを開く")</f>
        <v>URLを開く</v>
      </c>
      <c r="J17" s="29" t="s">
        <v>23</v>
      </c>
      <c r="K17" s="29" t="s">
        <v>23</v>
      </c>
    </row>
    <row r="18" spans="1:11">
      <c r="A18" s="25" t="s">
        <v>15</v>
      </c>
      <c r="B18" s="25" t="s">
        <v>16</v>
      </c>
      <c r="C18" s="26" t="s">
        <v>67</v>
      </c>
      <c r="D18" s="26" t="s">
        <v>68</v>
      </c>
      <c r="E18" s="27" t="s">
        <v>69</v>
      </c>
      <c r="F18" s="27" t="s">
        <v>40</v>
      </c>
      <c r="G18" s="27" t="s">
        <v>27</v>
      </c>
      <c r="H18" s="27" t="s">
        <v>70</v>
      </c>
      <c r="I18" s="28" t="str">
        <f>HYPERLINK("https://www.pretty-online.jp/news/2518/","URLを開く")</f>
        <v>URLを開く</v>
      </c>
      <c r="J18" s="29" t="s">
        <v>23</v>
      </c>
      <c r="K18" s="29" t="s">
        <v>23</v>
      </c>
    </row>
    <row r="19" spans="1:11">
      <c r="A19" s="25" t="s">
        <v>15</v>
      </c>
      <c r="B19" s="25" t="s">
        <v>16</v>
      </c>
      <c r="C19" s="26" t="s">
        <v>71</v>
      </c>
      <c r="D19" s="26" t="s">
        <v>72</v>
      </c>
      <c r="E19" s="27" t="s">
        <v>73</v>
      </c>
      <c r="F19" s="27" t="s">
        <v>40</v>
      </c>
      <c r="G19" s="27" t="s">
        <v>27</v>
      </c>
      <c r="H19" s="27" t="s">
        <v>74</v>
      </c>
      <c r="I19" s="28" t="str">
        <f>HYPERLINK("https://highsnobiety.jp/p/adidas-x-ivypark-3/","URLを開く")</f>
        <v>URLを開く</v>
      </c>
      <c r="J19" s="29" t="s">
        <v>23</v>
      </c>
      <c r="K19" s="29" t="s">
        <v>23</v>
      </c>
    </row>
    <row r="20" spans="1:11">
      <c r="A20" s="25" t="s">
        <v>15</v>
      </c>
      <c r="B20" s="25" t="s">
        <v>16</v>
      </c>
      <c r="C20" s="26" t="s">
        <v>75</v>
      </c>
      <c r="D20" s="26" t="s">
        <v>76</v>
      </c>
      <c r="E20" s="27" t="s">
        <v>77</v>
      </c>
      <c r="F20" s="27" t="s">
        <v>65</v>
      </c>
      <c r="G20" s="27" t="s">
        <v>27</v>
      </c>
      <c r="H20" s="27" t="s">
        <v>78</v>
      </c>
      <c r="I20" s="28" t="str">
        <f>HYPERLINK("https://corriente.top/applewatch-heartmonthchallenge-2021/","URLを開く")</f>
        <v>URLを開く</v>
      </c>
      <c r="J20" s="29" t="s">
        <v>23</v>
      </c>
      <c r="K20" s="29" t="s">
        <v>23</v>
      </c>
    </row>
    <row r="21" spans="1:11">
      <c r="A21" s="25" t="s">
        <v>15</v>
      </c>
      <c r="B21" s="25" t="s">
        <v>16</v>
      </c>
      <c r="C21" s="26" t="s">
        <v>79</v>
      </c>
      <c r="D21" s="26" t="s">
        <v>80</v>
      </c>
      <c r="E21" s="27" t="s">
        <v>81</v>
      </c>
      <c r="F21" s="27" t="s">
        <v>65</v>
      </c>
      <c r="G21" s="27" t="s">
        <v>27</v>
      </c>
      <c r="H21" s="27" t="s">
        <v>82</v>
      </c>
      <c r="I21" s="28" t="str">
        <f>HYPERLINK("https://this.kiji.is/733335356276801536","URLを開く")</f>
        <v>URLを開く</v>
      </c>
      <c r="J21" s="29" t="s">
        <v>23</v>
      </c>
      <c r="K21" s="29" t="s">
        <v>23</v>
      </c>
    </row>
    <row r="22" spans="1:11">
      <c r="A22" s="25" t="s">
        <v>15</v>
      </c>
      <c r="B22" s="25" t="s">
        <v>16</v>
      </c>
      <c r="C22" s="26" t="s">
        <v>83</v>
      </c>
      <c r="D22" s="26" t="s">
        <v>84</v>
      </c>
      <c r="E22" s="27" t="s">
        <v>85</v>
      </c>
      <c r="F22" s="27" t="s">
        <v>65</v>
      </c>
      <c r="G22" s="27" t="s">
        <v>27</v>
      </c>
      <c r="H22" s="27" t="s">
        <v>86</v>
      </c>
      <c r="I22" s="28" t="str">
        <f>HYPERLINK("https://fnmnl.tv/2021/02/14/117987","URLを開く")</f>
        <v>URLを開く</v>
      </c>
      <c r="J22" s="29" t="s">
        <v>23</v>
      </c>
      <c r="K22" s="29" t="s">
        <v>23</v>
      </c>
    </row>
    <row r="23" spans="1:11">
      <c r="A23" s="25" t="s">
        <v>15</v>
      </c>
      <c r="B23" s="25" t="s">
        <v>16</v>
      </c>
      <c r="C23" s="26" t="s">
        <v>83</v>
      </c>
      <c r="D23" s="26" t="s">
        <v>84</v>
      </c>
      <c r="E23" s="27" t="s">
        <v>87</v>
      </c>
      <c r="F23" s="27" t="s">
        <v>88</v>
      </c>
      <c r="G23" s="27" t="s">
        <v>27</v>
      </c>
      <c r="H23" s="27" t="s">
        <v>89</v>
      </c>
      <c r="I23" s="28" t="str">
        <f>HYPERLINK("https://fnmnl.tv/2021/02/14/118106","URLを開く")</f>
        <v>URLを開く</v>
      </c>
      <c r="J23" s="29" t="s">
        <v>23</v>
      </c>
      <c r="K23" s="29" t="s">
        <v>23</v>
      </c>
    </row>
    <row r="24" spans="1:11">
      <c r="A24" s="25" t="s">
        <v>15</v>
      </c>
      <c r="B24" s="25" t="s">
        <v>16</v>
      </c>
      <c r="C24" s="26" t="s">
        <v>90</v>
      </c>
      <c r="D24" s="26" t="s">
        <v>91</v>
      </c>
      <c r="E24" s="27" t="s">
        <v>92</v>
      </c>
      <c r="F24" s="27" t="s">
        <v>93</v>
      </c>
      <c r="G24" s="27" t="s">
        <v>27</v>
      </c>
      <c r="H24" s="27" t="s">
        <v>94</v>
      </c>
      <c r="I24" s="28" t="str">
        <f>HYPERLINK("https://www.recycle-tsushin.com/news/detail_5658.php","URLを開く")</f>
        <v>URLを開く</v>
      </c>
      <c r="J24" s="29" t="s">
        <v>23</v>
      </c>
      <c r="K24" s="29" t="s">
        <v>23</v>
      </c>
    </row>
    <row r="25" spans="1:11">
      <c r="A25" s="25" t="s">
        <v>15</v>
      </c>
      <c r="B25" s="25" t="s">
        <v>16</v>
      </c>
      <c r="C25" s="26" t="s">
        <v>95</v>
      </c>
      <c r="D25" s="26" t="s">
        <v>96</v>
      </c>
      <c r="E25" s="27" t="s">
        <v>97</v>
      </c>
      <c r="F25" s="27" t="s">
        <v>40</v>
      </c>
      <c r="G25" s="27" t="s">
        <v>33</v>
      </c>
      <c r="H25" s="27" t="s">
        <v>98</v>
      </c>
      <c r="I25" s="28" t="str">
        <f>HYPERLINK("https://www.mapion.co.jp/news/column/cobs2196291-1/","URLを開く")</f>
        <v>URLを開く</v>
      </c>
      <c r="J25" s="29" t="s">
        <v>23</v>
      </c>
      <c r="K25" s="29" t="s">
        <v>23</v>
      </c>
    </row>
    <row r="26" spans="1:11">
      <c r="A26" s="25" t="s">
        <v>15</v>
      </c>
      <c r="B26" s="25" t="s">
        <v>16</v>
      </c>
      <c r="C26" s="26" t="s">
        <v>99</v>
      </c>
      <c r="D26" s="26" t="s">
        <v>100</v>
      </c>
      <c r="E26" s="27" t="s">
        <v>101</v>
      </c>
      <c r="F26" s="27" t="s">
        <v>65</v>
      </c>
      <c r="G26" s="27" t="s">
        <v>33</v>
      </c>
      <c r="H26" s="27" t="s">
        <v>102</v>
      </c>
      <c r="I26" s="28" t="str">
        <f>HYPERLINK("https://news.nifty.com/article/item/neta/12134-964332/","URLを開く")</f>
        <v>URLを開く</v>
      </c>
      <c r="J26" s="29" t="s">
        <v>23</v>
      </c>
      <c r="K26" s="29" t="s">
        <v>23</v>
      </c>
    </row>
    <row r="27" spans="1:11">
      <c r="A27" s="25" t="s">
        <v>15</v>
      </c>
      <c r="B27" s="25" t="s">
        <v>16</v>
      </c>
      <c r="C27" s="26" t="s">
        <v>103</v>
      </c>
      <c r="D27" s="26" t="s">
        <v>104</v>
      </c>
      <c r="E27" s="27" t="s">
        <v>101</v>
      </c>
      <c r="F27" s="27" t="s">
        <v>65</v>
      </c>
      <c r="G27" s="27" t="s">
        <v>33</v>
      </c>
      <c r="H27" s="27" t="s">
        <v>105</v>
      </c>
      <c r="I27" s="28" t="str">
        <f>HYPERLINK("https://www.excite.co.jp/news/article/Fashion_headline_71013/","URLを開く")</f>
        <v>URLを開く</v>
      </c>
      <c r="J27" s="29" t="s">
        <v>23</v>
      </c>
      <c r="K27" s="29" t="s">
        <v>23</v>
      </c>
    </row>
    <row r="28" spans="1:11">
      <c r="A28" s="25" t="s">
        <v>15</v>
      </c>
      <c r="B28" s="25" t="s">
        <v>16</v>
      </c>
      <c r="C28" s="26" t="s">
        <v>106</v>
      </c>
      <c r="D28" s="26" t="s">
        <v>107</v>
      </c>
      <c r="E28" s="27" t="s">
        <v>101</v>
      </c>
      <c r="F28" s="27" t="s">
        <v>65</v>
      </c>
      <c r="G28" s="27" t="s">
        <v>27</v>
      </c>
      <c r="H28" s="27" t="s">
        <v>108</v>
      </c>
      <c r="I28" s="28" t="str">
        <f>HYPERLINK("https://www.fashion-headline.com/article/71013","URLを開く")</f>
        <v>URLを開く</v>
      </c>
      <c r="J28" s="29" t="s">
        <v>23</v>
      </c>
      <c r="K28" s="29" t="s">
        <v>23</v>
      </c>
    </row>
    <row r="29" spans="1:11">
      <c r="A29" s="25" t="s">
        <v>15</v>
      </c>
      <c r="B29" s="25" t="s">
        <v>16</v>
      </c>
      <c r="C29" s="26" t="s">
        <v>109</v>
      </c>
      <c r="D29" s="26" t="s">
        <v>110</v>
      </c>
      <c r="E29" s="27" t="s">
        <v>101</v>
      </c>
      <c r="F29" s="27" t="s">
        <v>65</v>
      </c>
      <c r="G29" s="27" t="s">
        <v>33</v>
      </c>
      <c r="H29" s="27" t="s">
        <v>111</v>
      </c>
      <c r="I29" s="28" t="str">
        <f>HYPERLINK("https://news.infoseek.co.jp/article/fashion_headline_fh_71013","URLを開く")</f>
        <v>URLを開く</v>
      </c>
      <c r="J29" s="29" t="s">
        <v>23</v>
      </c>
      <c r="K29" s="29" t="s">
        <v>23</v>
      </c>
    </row>
    <row r="30" spans="1:11">
      <c r="A30" s="25" t="s">
        <v>15</v>
      </c>
      <c r="B30" s="25" t="s">
        <v>16</v>
      </c>
      <c r="C30" s="26" t="s">
        <v>109</v>
      </c>
      <c r="D30" s="26" t="s">
        <v>110</v>
      </c>
      <c r="E30" s="27" t="s">
        <v>101</v>
      </c>
      <c r="F30" s="27" t="s">
        <v>65</v>
      </c>
      <c r="G30" s="27" t="s">
        <v>33</v>
      </c>
      <c r="H30" s="27" t="s">
        <v>112</v>
      </c>
      <c r="I30" s="28" t="str">
        <f>HYPERLINK("https://news.infoseek.co.jp/article/fashion_headline_fh_71013/","URLを開く")</f>
        <v>URLを開く</v>
      </c>
      <c r="J30" s="29" t="s">
        <v>23</v>
      </c>
      <c r="K30" s="29" t="s">
        <v>23</v>
      </c>
    </row>
    <row r="31" spans="1:11">
      <c r="A31" s="25" t="s">
        <v>15</v>
      </c>
      <c r="B31" s="25" t="s">
        <v>16</v>
      </c>
      <c r="C31" s="26" t="s">
        <v>113</v>
      </c>
      <c r="D31" s="26" t="s">
        <v>104</v>
      </c>
      <c r="E31" s="27" t="s">
        <v>101</v>
      </c>
      <c r="F31" s="27" t="s">
        <v>65</v>
      </c>
      <c r="G31" s="27" t="s">
        <v>33</v>
      </c>
      <c r="H31" s="27" t="s">
        <v>114</v>
      </c>
      <c r="I31" s="28" t="str">
        <f>HYPERLINK("https://woman.excite.co.jp/article/lifestyle/rid_Fashion_headline_71013/","URLを開く")</f>
        <v>URLを開く</v>
      </c>
      <c r="J31" s="29" t="s">
        <v>23</v>
      </c>
      <c r="K31" s="29" t="s">
        <v>23</v>
      </c>
    </row>
    <row r="32" spans="1:11">
      <c r="A32" s="25" t="s">
        <v>15</v>
      </c>
      <c r="B32" s="25" t="s">
        <v>16</v>
      </c>
      <c r="C32" s="26" t="s">
        <v>83</v>
      </c>
      <c r="D32" s="26" t="s">
        <v>84</v>
      </c>
      <c r="E32" s="27" t="s">
        <v>115</v>
      </c>
      <c r="F32" s="27" t="s">
        <v>65</v>
      </c>
      <c r="G32" s="27" t="s">
        <v>27</v>
      </c>
      <c r="H32" s="27" t="s">
        <v>116</v>
      </c>
      <c r="I32" s="28" t="str">
        <f>HYPERLINK("https://fnmnl.tv/2021/02/14/117750","URLを開く")</f>
        <v>URLを開く</v>
      </c>
      <c r="J32" s="29" t="s">
        <v>23</v>
      </c>
      <c r="K32" s="29" t="s">
        <v>23</v>
      </c>
    </row>
    <row r="33" spans="1:11">
      <c r="A33" s="25" t="s">
        <v>15</v>
      </c>
      <c r="B33" s="25" t="s">
        <v>16</v>
      </c>
      <c r="C33" s="26" t="s">
        <v>117</v>
      </c>
      <c r="D33" s="26" t="s">
        <v>118</v>
      </c>
      <c r="E33" s="27" t="s">
        <v>119</v>
      </c>
      <c r="F33" s="27" t="s">
        <v>65</v>
      </c>
      <c r="G33" s="27" t="s">
        <v>33</v>
      </c>
      <c r="H33" s="27" t="s">
        <v>120</v>
      </c>
      <c r="I33" s="28" t="str">
        <f>HYPERLINK("http://www.extrain.info/2021/02/14/%E3%82%A6%E3%82%A7%E3%82%A2%E3%83%A9%E3%83%96%E3%83%AB%E3%82%A8%E3%83%AC%E3%82%AF%E3%83%88%E3%83%AD%E3%83%8B%E3%82%AF%E3%82%B9%E5%B8%82%E5%A0%B4%E8%A6%8F%E6%A8%A120212028%E5%B9%B4%E3%81%BE%E3%81%A7/","URLを開く")</f>
        <v>URLを開く</v>
      </c>
      <c r="J33" s="29" t="s">
        <v>23</v>
      </c>
      <c r="K33" s="29" t="s">
        <v>23</v>
      </c>
    </row>
    <row r="34" spans="1:11">
      <c r="A34" s="25" t="s">
        <v>15</v>
      </c>
      <c r="B34" s="25" t="s">
        <v>16</v>
      </c>
      <c r="C34" s="26" t="s">
        <v>121</v>
      </c>
      <c r="D34" s="26" t="s">
        <v>122</v>
      </c>
      <c r="E34" s="27" t="s">
        <v>123</v>
      </c>
      <c r="F34" s="27" t="s">
        <v>93</v>
      </c>
      <c r="G34" s="27" t="s">
        <v>27</v>
      </c>
      <c r="H34" s="27" t="s">
        <v>124</v>
      </c>
      <c r="I34" s="28" t="str">
        <f>HYPERLINK("https://senken.co.jp/posts/person-on-japan","URLを開く")</f>
        <v>URLを開く</v>
      </c>
      <c r="J34" s="29" t="s">
        <v>23</v>
      </c>
      <c r="K34" s="29" t="s">
        <v>23</v>
      </c>
    </row>
    <row r="35" spans="1:11">
      <c r="A35" s="25" t="s">
        <v>15</v>
      </c>
      <c r="B35" s="25" t="s">
        <v>16</v>
      </c>
      <c r="C35" s="26" t="s">
        <v>24</v>
      </c>
      <c r="D35" s="26" t="s">
        <v>25</v>
      </c>
      <c r="E35" s="27" t="s">
        <v>125</v>
      </c>
      <c r="F35" s="27" t="s">
        <v>20</v>
      </c>
      <c r="G35" s="27" t="s">
        <v>27</v>
      </c>
      <c r="H35" s="27" t="s">
        <v>126</v>
      </c>
      <c r="I35" s="28" t="str">
        <f>HYPERLINK("https://safarilounge.jp/online/celeb/detail.php?id=6795","URLを開く")</f>
        <v>URLを開く</v>
      </c>
      <c r="J35" s="29" t="s">
        <v>23</v>
      </c>
      <c r="K35" s="29" t="s">
        <v>23</v>
      </c>
    </row>
    <row r="36" spans="1:11">
      <c r="A36" s="25" t="s">
        <v>15</v>
      </c>
      <c r="B36" s="25" t="s">
        <v>16</v>
      </c>
      <c r="C36" s="26" t="s">
        <v>24</v>
      </c>
      <c r="D36" s="26" t="s">
        <v>25</v>
      </c>
      <c r="E36" s="27" t="s">
        <v>125</v>
      </c>
      <c r="F36" s="27" t="s">
        <v>20</v>
      </c>
      <c r="G36" s="27" t="s">
        <v>27</v>
      </c>
      <c r="H36" s="27" t="s">
        <v>127</v>
      </c>
      <c r="I36" s="28" t="str">
        <f>HYPERLINK("https://safarilounge.jp/online/fashion/detail.php?id=6795","URLを開く")</f>
        <v>URLを開く</v>
      </c>
      <c r="J36" s="29" t="s">
        <v>23</v>
      </c>
      <c r="K36" s="29" t="s">
        <v>23</v>
      </c>
    </row>
    <row r="37" spans="1:11">
      <c r="A37" s="25" t="s">
        <v>15</v>
      </c>
      <c r="B37" s="25" t="s">
        <v>16</v>
      </c>
      <c r="C37" s="26" t="s">
        <v>128</v>
      </c>
      <c r="D37" s="26" t="s">
        <v>129</v>
      </c>
      <c r="E37" s="27" t="s">
        <v>130</v>
      </c>
      <c r="F37" s="27" t="s">
        <v>88</v>
      </c>
      <c r="G37" s="27" t="s">
        <v>27</v>
      </c>
      <c r="H37" s="27" t="s">
        <v>131</v>
      </c>
      <c r="I37" s="28" t="str">
        <f>HYPERLINK("https://oggi.jp/6422158","URLを開く")</f>
        <v>URLを開く</v>
      </c>
      <c r="J37" s="29" t="s">
        <v>23</v>
      </c>
      <c r="K37" s="29" t="s">
        <v>23</v>
      </c>
    </row>
    <row r="38" spans="1:11">
      <c r="A38" s="25" t="s">
        <v>15</v>
      </c>
      <c r="B38" s="25" t="s">
        <v>16</v>
      </c>
      <c r="C38" s="26" t="s">
        <v>46</v>
      </c>
      <c r="D38" s="26" t="s">
        <v>47</v>
      </c>
      <c r="E38" s="27" t="s">
        <v>132</v>
      </c>
      <c r="F38" s="27" t="s">
        <v>20</v>
      </c>
      <c r="G38" s="27" t="s">
        <v>33</v>
      </c>
      <c r="H38" s="27" t="s">
        <v>133</v>
      </c>
      <c r="I38" s="28" t="str">
        <f>HYPERLINK(" "," ")</f>
        <v xml:space="preserve"> </v>
      </c>
      <c r="J38" s="29" t="s">
        <v>23</v>
      </c>
      <c r="K38" s="29" t="s">
        <v>23</v>
      </c>
    </row>
    <row r="39" spans="1:11">
      <c r="A39" s="25" t="s">
        <v>15</v>
      </c>
      <c r="B39" s="25" t="s">
        <v>16</v>
      </c>
      <c r="C39" s="26" t="s">
        <v>103</v>
      </c>
      <c r="D39" s="26" t="s">
        <v>104</v>
      </c>
      <c r="E39" s="27" t="s">
        <v>134</v>
      </c>
      <c r="F39" s="27" t="s">
        <v>20</v>
      </c>
      <c r="G39" s="27" t="s">
        <v>33</v>
      </c>
      <c r="H39" s="27" t="s">
        <v>135</v>
      </c>
      <c r="I39" s="28" t="str">
        <f>HYPERLINK("https://www.excite.co.jp/news/article/Fashionsnap_article_2021-02-14_converse-nasa/","URLを開く")</f>
        <v>URLを開く</v>
      </c>
      <c r="J39" s="29" t="s">
        <v>23</v>
      </c>
      <c r="K39" s="29" t="s">
        <v>23</v>
      </c>
    </row>
    <row r="40" spans="1:11">
      <c r="A40" s="25" t="s">
        <v>15</v>
      </c>
      <c r="B40" s="25" t="s">
        <v>16</v>
      </c>
      <c r="C40" s="26" t="s">
        <v>136</v>
      </c>
      <c r="D40" s="26" t="s">
        <v>137</v>
      </c>
      <c r="E40" s="27" t="s">
        <v>138</v>
      </c>
      <c r="F40" s="27" t="s">
        <v>20</v>
      </c>
      <c r="G40" s="27" t="s">
        <v>27</v>
      </c>
      <c r="H40" s="27" t="s">
        <v>139</v>
      </c>
      <c r="I40" s="28" t="str">
        <f>HYPERLINK("https://news.golfdigest.co.jp/news/pgatorgnl/pga/article/134857/1/?car=fromNewsSearch","URLを開く")</f>
        <v>URLを開く</v>
      </c>
      <c r="J40" s="29" t="s">
        <v>23</v>
      </c>
      <c r="K40" s="29" t="s">
        <v>23</v>
      </c>
    </row>
    <row r="41" spans="1:11">
      <c r="A41" s="25" t="s">
        <v>15</v>
      </c>
      <c r="B41" s="25" t="s">
        <v>16</v>
      </c>
      <c r="C41" s="26" t="s">
        <v>136</v>
      </c>
      <c r="D41" s="26" t="s">
        <v>137</v>
      </c>
      <c r="E41" s="27" t="s">
        <v>138</v>
      </c>
      <c r="F41" s="27" t="s">
        <v>20</v>
      </c>
      <c r="G41" s="27" t="s">
        <v>27</v>
      </c>
      <c r="H41" s="27" t="s">
        <v>140</v>
      </c>
      <c r="I41" s="28" t="str">
        <f>HYPERLINK("https://news.golfdigest.co.jp/news/pgatorgnl/pga/article/134857/1/","URLを開く")</f>
        <v>URLを開く</v>
      </c>
      <c r="J41" s="29" t="s">
        <v>23</v>
      </c>
      <c r="K41" s="29" t="s">
        <v>23</v>
      </c>
    </row>
    <row r="42" spans="1:11">
      <c r="A42" s="25" t="s">
        <v>15</v>
      </c>
      <c r="B42" s="25" t="s">
        <v>16</v>
      </c>
      <c r="C42" s="26" t="s">
        <v>136</v>
      </c>
      <c r="D42" s="26" t="s">
        <v>137</v>
      </c>
      <c r="E42" s="27" t="s">
        <v>138</v>
      </c>
      <c r="F42" s="27" t="s">
        <v>20</v>
      </c>
      <c r="G42" s="27" t="s">
        <v>27</v>
      </c>
      <c r="H42" s="27" t="s">
        <v>141</v>
      </c>
      <c r="I42" s="28" t="str">
        <f>HYPERLINK("https://news.golfdigest.co.jp/news/pgatorgnl/pga/article/134857/1/?car=ranking_sidenavi_realtimeAll","URLを開く")</f>
        <v>URLを開く</v>
      </c>
      <c r="J42" s="29" t="s">
        <v>23</v>
      </c>
      <c r="K42" s="29" t="s">
        <v>23</v>
      </c>
    </row>
    <row r="43" spans="1:11">
      <c r="A43" s="25" t="s">
        <v>15</v>
      </c>
      <c r="B43" s="25" t="s">
        <v>16</v>
      </c>
      <c r="C43" s="26" t="s">
        <v>142</v>
      </c>
      <c r="D43" s="26" t="s">
        <v>143</v>
      </c>
      <c r="E43" s="27" t="s">
        <v>138</v>
      </c>
      <c r="F43" s="27" t="s">
        <v>20</v>
      </c>
      <c r="G43" s="27" t="s">
        <v>33</v>
      </c>
      <c r="H43" s="27" t="s">
        <v>144</v>
      </c>
      <c r="I43" s="28" t="str">
        <f>HYPERLINK("https://news.goo.ne.jp/article/gdo/sports/gdo-134860-1.html","URLを開く")</f>
        <v>URLを開く</v>
      </c>
      <c r="J43" s="29" t="s">
        <v>23</v>
      </c>
      <c r="K43" s="29" t="s">
        <v>23</v>
      </c>
    </row>
    <row r="44" spans="1:11">
      <c r="A44" s="25" t="s">
        <v>15</v>
      </c>
      <c r="B44" s="25" t="s">
        <v>16</v>
      </c>
      <c r="C44" s="26" t="s">
        <v>42</v>
      </c>
      <c r="D44" s="26" t="s">
        <v>43</v>
      </c>
      <c r="E44" s="27" t="s">
        <v>138</v>
      </c>
      <c r="F44" s="27" t="s">
        <v>20</v>
      </c>
      <c r="G44" s="27" t="s">
        <v>33</v>
      </c>
      <c r="H44" s="27" t="s">
        <v>145</v>
      </c>
      <c r="I44" s="28" t="str">
        <f>HYPERLINK("https://news.line.me/issue/oa-gdonews/qnbl9q9tplr4","URLを開く")</f>
        <v>URLを開く</v>
      </c>
      <c r="J44" s="29" t="s">
        <v>23</v>
      </c>
      <c r="K44" s="29" t="s">
        <v>23</v>
      </c>
    </row>
    <row r="45" spans="1:11">
      <c r="A45" s="25" t="s">
        <v>15</v>
      </c>
      <c r="B45" s="25" t="s">
        <v>16</v>
      </c>
      <c r="C45" s="26" t="s">
        <v>146</v>
      </c>
      <c r="D45" s="26" t="s">
        <v>147</v>
      </c>
      <c r="E45" s="27" t="s">
        <v>148</v>
      </c>
      <c r="F45" s="27" t="s">
        <v>20</v>
      </c>
      <c r="G45" s="27" t="s">
        <v>33</v>
      </c>
      <c r="H45" s="27" t="s">
        <v>149</v>
      </c>
      <c r="I45" s="28" t="str">
        <f>HYPERLINK("http://topics.smt.docomo.ne.jp/article/gdo/sports/gdo-134860-1?fm=latestnews","URLを開く")</f>
        <v>URLを開く</v>
      </c>
      <c r="J45" s="29" t="s">
        <v>23</v>
      </c>
      <c r="K45" s="29" t="s">
        <v>23</v>
      </c>
    </row>
    <row r="46" spans="1:11">
      <c r="A46" s="25" t="s">
        <v>15</v>
      </c>
      <c r="B46" s="25" t="s">
        <v>16</v>
      </c>
      <c r="C46" s="26" t="s">
        <v>42</v>
      </c>
      <c r="D46" s="26" t="s">
        <v>43</v>
      </c>
      <c r="E46" s="27" t="s">
        <v>150</v>
      </c>
      <c r="F46" s="27" t="s">
        <v>88</v>
      </c>
      <c r="G46" s="27" t="s">
        <v>33</v>
      </c>
      <c r="H46" s="27" t="s">
        <v>151</v>
      </c>
      <c r="I46" s="28" t="str">
        <f>HYPERLINK("https://news.line.me/issue/oa-ginza/b1h5z7p66x2b","URLを開く")</f>
        <v>URLを開く</v>
      </c>
      <c r="J46" s="29" t="s">
        <v>23</v>
      </c>
      <c r="K46" s="29" t="s">
        <v>23</v>
      </c>
    </row>
    <row r="47" spans="1:11">
      <c r="A47" s="25" t="s">
        <v>15</v>
      </c>
      <c r="B47" s="25" t="s">
        <v>16</v>
      </c>
      <c r="C47" s="26" t="s">
        <v>50</v>
      </c>
      <c r="D47" s="26" t="s">
        <v>51</v>
      </c>
      <c r="E47" s="27" t="s">
        <v>152</v>
      </c>
      <c r="F47" s="27" t="s">
        <v>58</v>
      </c>
      <c r="G47" s="27" t="s">
        <v>33</v>
      </c>
      <c r="H47" s="27" t="s">
        <v>153</v>
      </c>
      <c r="I47" s="28" t="str">
        <f>HYPERLINK("https://news.yahoo.co.jp/articles/cb1dfd8053449443ffcb05e7624aec76816c31f4","URLを開く")</f>
        <v>URLを開く</v>
      </c>
      <c r="J47" s="29" t="s">
        <v>23</v>
      </c>
      <c r="K47" s="29" t="s">
        <v>23</v>
      </c>
    </row>
    <row r="48" spans="1:11">
      <c r="A48" s="25" t="s">
        <v>15</v>
      </c>
      <c r="B48" s="25" t="s">
        <v>16</v>
      </c>
      <c r="C48" s="26" t="s">
        <v>154</v>
      </c>
      <c r="D48" s="26" t="s">
        <v>23</v>
      </c>
      <c r="E48" s="27" t="s">
        <v>155</v>
      </c>
      <c r="F48" s="27" t="s">
        <v>40</v>
      </c>
      <c r="G48" s="27" t="s">
        <v>33</v>
      </c>
      <c r="H48" s="27" t="s">
        <v>156</v>
      </c>
      <c r="I48" s="28" t="str">
        <f>HYPERLINK("http://fashion.hanarekojima.com/%E3%83%91%E3%83%AC%E3%82%B9-%E3%82%B9%E3%82%B1%E3%83%BC%E3%83%88%E3%83%9C%E3%83%BC%E3%83%89%E3%80%81%E3%82%B9%E3%82%BF%E3%83%B3%E3%82%B9%E3%83%9F%E3%82%B9%E3%82%84%E3%82%A2%E3%83%AA%E3%82%B9%E3%83%BB/","URLを開く")</f>
        <v>URLを開く</v>
      </c>
      <c r="J48" s="29" t="s">
        <v>23</v>
      </c>
      <c r="K48" s="29" t="s">
        <v>23</v>
      </c>
    </row>
    <row r="49" spans="1:11">
      <c r="A49" s="25" t="s">
        <v>15</v>
      </c>
      <c r="B49" s="25" t="s">
        <v>16</v>
      </c>
      <c r="C49" s="26" t="s">
        <v>42</v>
      </c>
      <c r="D49" s="26" t="s">
        <v>43</v>
      </c>
      <c r="E49" s="27" t="s">
        <v>157</v>
      </c>
      <c r="F49" s="27" t="s">
        <v>40</v>
      </c>
      <c r="G49" s="27" t="s">
        <v>33</v>
      </c>
      <c r="H49" s="27" t="s">
        <v>158</v>
      </c>
      <c r="I49" s="28" t="str">
        <f>HYPERLINK("https://news.line.me/articles/oa-rp13382/7fac9771e267","URLを開く")</f>
        <v>URLを開く</v>
      </c>
      <c r="J49" s="29" t="s">
        <v>23</v>
      </c>
      <c r="K49" s="29" t="s">
        <v>23</v>
      </c>
    </row>
    <row r="50" spans="1:11">
      <c r="A50" s="25" t="s">
        <v>15</v>
      </c>
      <c r="B50" s="25" t="s">
        <v>16</v>
      </c>
      <c r="C50" s="26" t="s">
        <v>159</v>
      </c>
      <c r="D50" s="26" t="s">
        <v>160</v>
      </c>
      <c r="E50" s="27" t="s">
        <v>157</v>
      </c>
      <c r="F50" s="27" t="s">
        <v>40</v>
      </c>
      <c r="G50" s="27" t="s">
        <v>27</v>
      </c>
      <c r="H50" s="27" t="s">
        <v>161</v>
      </c>
      <c r="I50" s="28" t="str">
        <f>HYPERLINK("https://mirror.asahi.com/article/14184502","URLを開く")</f>
        <v>URLを開く</v>
      </c>
      <c r="J50" s="29" t="s">
        <v>23</v>
      </c>
      <c r="K50" s="29" t="s">
        <v>23</v>
      </c>
    </row>
    <row r="51" spans="1:11">
      <c r="A51" s="25" t="s">
        <v>15</v>
      </c>
      <c r="B51" s="25" t="s">
        <v>16</v>
      </c>
      <c r="C51" s="26" t="s">
        <v>162</v>
      </c>
      <c r="D51" s="26" t="s">
        <v>163</v>
      </c>
      <c r="E51" s="27" t="s">
        <v>157</v>
      </c>
      <c r="F51" s="27" t="s">
        <v>40</v>
      </c>
      <c r="G51" s="27" t="s">
        <v>33</v>
      </c>
      <c r="H51" s="27" t="s">
        <v>164</v>
      </c>
      <c r="I51" s="28" t="str">
        <f>HYPERLINK("https://gunosy.com/articles/eb6s8","URLを開く")</f>
        <v>URLを開く</v>
      </c>
      <c r="J51" s="29" t="s">
        <v>23</v>
      </c>
      <c r="K51" s="29" t="s">
        <v>23</v>
      </c>
    </row>
    <row r="52" spans="1:11">
      <c r="A52" s="25" t="s">
        <v>15</v>
      </c>
      <c r="B52" s="25" t="s">
        <v>16</v>
      </c>
      <c r="C52" s="26" t="s">
        <v>165</v>
      </c>
      <c r="D52" s="26" t="s">
        <v>166</v>
      </c>
      <c r="E52" s="27" t="s">
        <v>167</v>
      </c>
      <c r="F52" s="27" t="s">
        <v>20</v>
      </c>
      <c r="G52" s="27" t="s">
        <v>33</v>
      </c>
      <c r="H52" s="27" t="s">
        <v>168</v>
      </c>
      <c r="I52" s="28" t="str">
        <f>HYPERLINK("https://trilltrill.jp/articles/1792336","URLを開く")</f>
        <v>URLを開く</v>
      </c>
      <c r="J52" s="29" t="s">
        <v>23</v>
      </c>
      <c r="K52" s="29" t="s">
        <v>23</v>
      </c>
    </row>
    <row r="53" spans="1:11">
      <c r="A53" s="25" t="s">
        <v>15</v>
      </c>
      <c r="B53" s="25" t="s">
        <v>16</v>
      </c>
      <c r="C53" s="26" t="s">
        <v>50</v>
      </c>
      <c r="D53" s="26" t="s">
        <v>51</v>
      </c>
      <c r="E53" s="27" t="s">
        <v>169</v>
      </c>
      <c r="F53" s="27" t="s">
        <v>40</v>
      </c>
      <c r="G53" s="27" t="s">
        <v>33</v>
      </c>
      <c r="H53" s="27" t="s">
        <v>170</v>
      </c>
      <c r="I53" s="28" t="str">
        <f>HYPERLINK("https://news.yahoo.co.jp/articles/436bc4dffec597ce3fc96160101d3fe80709e86b","URLを開く")</f>
        <v>URLを開く</v>
      </c>
      <c r="J53" s="29" t="s">
        <v>23</v>
      </c>
      <c r="K53" s="29" t="s">
        <v>23</v>
      </c>
    </row>
    <row r="54" spans="1:11">
      <c r="A54" s="25" t="s">
        <v>15</v>
      </c>
      <c r="B54" s="25" t="s">
        <v>16</v>
      </c>
      <c r="C54" s="26" t="s">
        <v>50</v>
      </c>
      <c r="D54" s="26" t="s">
        <v>51</v>
      </c>
      <c r="E54" s="27" t="s">
        <v>171</v>
      </c>
      <c r="F54" s="27" t="s">
        <v>20</v>
      </c>
      <c r="G54" s="27" t="s">
        <v>33</v>
      </c>
      <c r="H54" s="27" t="s">
        <v>172</v>
      </c>
      <c r="I54" s="28" t="str">
        <f>HYPERLINK("https://news.yahoo.co.jp/articles/fc08db7c4058bd86587a164a4ee4b1fcf93aebf7","URLを開く")</f>
        <v>URLを開く</v>
      </c>
      <c r="J54" s="29" t="s">
        <v>23</v>
      </c>
      <c r="K54" s="29" t="s">
        <v>23</v>
      </c>
    </row>
    <row r="55" spans="1:11">
      <c r="A55" s="25" t="s">
        <v>15</v>
      </c>
      <c r="B55" s="25" t="s">
        <v>16</v>
      </c>
      <c r="C55" s="26" t="s">
        <v>42</v>
      </c>
      <c r="D55" s="26" t="s">
        <v>43</v>
      </c>
      <c r="E55" s="27" t="s">
        <v>173</v>
      </c>
      <c r="F55" s="27" t="s">
        <v>40</v>
      </c>
      <c r="G55" s="27" t="s">
        <v>33</v>
      </c>
      <c r="H55" s="27" t="s">
        <v>174</v>
      </c>
      <c r="I55" s="28" t="str">
        <f>HYPERLINK("https://news.line.me/issue/oa-soccerking/g7dmy2b9oa00","URLを開く")</f>
        <v>URLを開く</v>
      </c>
      <c r="J55" s="29" t="s">
        <v>23</v>
      </c>
      <c r="K55" s="29" t="s">
        <v>23</v>
      </c>
    </row>
    <row r="56" spans="1:11">
      <c r="A56" s="25" t="s">
        <v>15</v>
      </c>
      <c r="B56" s="25" t="s">
        <v>16</v>
      </c>
      <c r="C56" s="26" t="s">
        <v>175</v>
      </c>
      <c r="D56" s="26" t="s">
        <v>176</v>
      </c>
      <c r="E56" s="27" t="s">
        <v>173</v>
      </c>
      <c r="F56" s="27" t="s">
        <v>40</v>
      </c>
      <c r="G56" s="27" t="s">
        <v>27</v>
      </c>
      <c r="H56" s="27" t="s">
        <v>177</v>
      </c>
      <c r="I56" s="28" t="str">
        <f>HYPERLINK("https://www.soccer-king.jp/news/world/esp/20210212/1183770.html?cx_news=page3","URLを開く")</f>
        <v>URLを開く</v>
      </c>
      <c r="J56" s="29" t="s">
        <v>23</v>
      </c>
      <c r="K56" s="29" t="s">
        <v>23</v>
      </c>
    </row>
    <row r="57" spans="1:11">
      <c r="A57" s="25" t="s">
        <v>15</v>
      </c>
      <c r="B57" s="25" t="s">
        <v>16</v>
      </c>
      <c r="C57" s="26" t="s">
        <v>178</v>
      </c>
      <c r="D57" s="26" t="s">
        <v>179</v>
      </c>
      <c r="E57" s="27" t="s">
        <v>180</v>
      </c>
      <c r="F57" s="27" t="s">
        <v>88</v>
      </c>
      <c r="G57" s="27" t="s">
        <v>27</v>
      </c>
      <c r="H57" s="27" t="s">
        <v>181</v>
      </c>
      <c r="I57" s="28" t="str">
        <f>HYPERLINK("https://gendai.ismedia.jp/articles/-/80132?media=frau","URLを開く")</f>
        <v>URLを開く</v>
      </c>
      <c r="J57" s="29" t="s">
        <v>23</v>
      </c>
      <c r="K57" s="29" t="s">
        <v>23</v>
      </c>
    </row>
    <row r="58" spans="1:11">
      <c r="A58" s="25" t="s">
        <v>15</v>
      </c>
      <c r="B58" s="25" t="s">
        <v>16</v>
      </c>
      <c r="C58" s="26" t="s">
        <v>178</v>
      </c>
      <c r="D58" s="26" t="s">
        <v>179</v>
      </c>
      <c r="E58" s="27" t="s">
        <v>180</v>
      </c>
      <c r="F58" s="27" t="s">
        <v>88</v>
      </c>
      <c r="G58" s="27" t="s">
        <v>27</v>
      </c>
      <c r="H58" s="27" t="s">
        <v>182</v>
      </c>
      <c r="I58" s="28" t="str">
        <f>HYPERLINK("https://gendai.ismedia.jp/articles/-/80132","URLを開く")</f>
        <v>URLを開く</v>
      </c>
      <c r="J58" s="29" t="s">
        <v>23</v>
      </c>
      <c r="K58" s="29" t="s">
        <v>23</v>
      </c>
    </row>
    <row r="59" spans="1:11">
      <c r="A59" s="25" t="s">
        <v>15</v>
      </c>
      <c r="B59" s="25" t="s">
        <v>16</v>
      </c>
      <c r="C59" s="26" t="s">
        <v>183</v>
      </c>
      <c r="D59" s="26" t="s">
        <v>184</v>
      </c>
      <c r="E59" s="27" t="s">
        <v>185</v>
      </c>
      <c r="F59" s="27" t="s">
        <v>58</v>
      </c>
      <c r="G59" s="27" t="s">
        <v>33</v>
      </c>
      <c r="H59" s="27" t="s">
        <v>186</v>
      </c>
      <c r="I59" s="28" t="str">
        <f>HYPERLINK("https://kireistyle-woman.com/news/life/contents/304103","URLを開く")</f>
        <v>URLを開く</v>
      </c>
      <c r="J59" s="29" t="s">
        <v>23</v>
      </c>
      <c r="K59" s="29" t="s">
        <v>23</v>
      </c>
    </row>
    <row r="60" spans="1:11">
      <c r="A60" s="25" t="s">
        <v>15</v>
      </c>
      <c r="B60" s="25" t="s">
        <v>16</v>
      </c>
      <c r="C60" s="26" t="s">
        <v>55</v>
      </c>
      <c r="D60" s="26" t="s">
        <v>56</v>
      </c>
      <c r="E60" s="27" t="s">
        <v>187</v>
      </c>
      <c r="F60" s="27" t="s">
        <v>188</v>
      </c>
      <c r="G60" s="27" t="s">
        <v>27</v>
      </c>
      <c r="H60" s="27" t="s">
        <v>189</v>
      </c>
      <c r="I60" s="28" t="str">
        <f>HYPERLINK("https://kurashi-no.jp/I0023410","URLを開く")</f>
        <v>URLを開く</v>
      </c>
      <c r="J60" s="29" t="s">
        <v>23</v>
      </c>
      <c r="K60" s="29" t="s">
        <v>23</v>
      </c>
    </row>
    <row r="61" spans="1:11">
      <c r="A61" s="25" t="s">
        <v>15</v>
      </c>
      <c r="B61" s="25" t="s">
        <v>16</v>
      </c>
      <c r="C61" s="26" t="s">
        <v>190</v>
      </c>
      <c r="D61" s="26" t="s">
        <v>129</v>
      </c>
      <c r="E61" s="27" t="s">
        <v>191</v>
      </c>
      <c r="F61" s="27" t="s">
        <v>20</v>
      </c>
      <c r="G61" s="27" t="s">
        <v>21</v>
      </c>
      <c r="H61" s="27" t="s">
        <v>192</v>
      </c>
      <c r="I61" s="28" t="str">
        <f>HYPERLINK("https://dime.jp/company_news/detail/?pr=773268","URLを開く")</f>
        <v>URLを開く</v>
      </c>
      <c r="J61" s="29" t="s">
        <v>23</v>
      </c>
      <c r="K61" s="29" t="s">
        <v>23</v>
      </c>
    </row>
    <row r="62" spans="1:11">
      <c r="A62" s="25" t="s">
        <v>15</v>
      </c>
      <c r="B62" s="25" t="s">
        <v>16</v>
      </c>
      <c r="C62" s="26" t="s">
        <v>193</v>
      </c>
      <c r="D62" s="26" t="s">
        <v>100</v>
      </c>
      <c r="E62" s="27" t="s">
        <v>191</v>
      </c>
      <c r="F62" s="27" t="s">
        <v>20</v>
      </c>
      <c r="G62" s="27" t="s">
        <v>21</v>
      </c>
      <c r="H62" s="27" t="s">
        <v>194</v>
      </c>
      <c r="I62" s="28" t="str">
        <f>HYPERLINK("https://business.nifty.com/cs/catalog/business_release/catalog_prt000000334000020320_1.htm","URLを開く")</f>
        <v>URLを開く</v>
      </c>
      <c r="J62" s="29" t="s">
        <v>23</v>
      </c>
      <c r="K62" s="29" t="s">
        <v>23</v>
      </c>
    </row>
    <row r="63" spans="1:11">
      <c r="A63" s="25" t="s">
        <v>15</v>
      </c>
      <c r="B63" s="25" t="s">
        <v>16</v>
      </c>
      <c r="C63" s="26" t="s">
        <v>195</v>
      </c>
      <c r="D63" s="26" t="s">
        <v>196</v>
      </c>
      <c r="E63" s="27" t="s">
        <v>191</v>
      </c>
      <c r="F63" s="27" t="s">
        <v>20</v>
      </c>
      <c r="G63" s="27" t="s">
        <v>21</v>
      </c>
      <c r="H63" s="27" t="s">
        <v>197</v>
      </c>
      <c r="I63" s="28" t="str">
        <f>HYPERLINK("https://news.allabout.co.jp/articles/p/000000334.000020320/","URLを開く")</f>
        <v>URLを開く</v>
      </c>
      <c r="J63" s="29" t="s">
        <v>23</v>
      </c>
      <c r="K63" s="29" t="s">
        <v>23</v>
      </c>
    </row>
    <row r="64" spans="1:11">
      <c r="A64" s="25" t="s">
        <v>15</v>
      </c>
      <c r="B64" s="25" t="s">
        <v>16</v>
      </c>
      <c r="C64" s="26" t="s">
        <v>198</v>
      </c>
      <c r="D64" s="26" t="s">
        <v>199</v>
      </c>
      <c r="E64" s="27" t="s">
        <v>191</v>
      </c>
      <c r="F64" s="27" t="s">
        <v>20</v>
      </c>
      <c r="G64" s="27" t="s">
        <v>21</v>
      </c>
      <c r="H64" s="27" t="s">
        <v>200</v>
      </c>
      <c r="I64" s="28" t="str">
        <f>HYPERLINK("https://www.kk-bestsellers.com/articles/-/press_release/833859/","URLを開く")</f>
        <v>URLを開く</v>
      </c>
      <c r="J64" s="29" t="s">
        <v>23</v>
      </c>
      <c r="K64" s="29" t="s">
        <v>23</v>
      </c>
    </row>
    <row r="65" spans="1:11">
      <c r="A65" s="25" t="s">
        <v>15</v>
      </c>
      <c r="B65" s="25" t="s">
        <v>16</v>
      </c>
      <c r="C65" s="26" t="s">
        <v>201</v>
      </c>
      <c r="D65" s="26" t="s">
        <v>202</v>
      </c>
      <c r="E65" s="27" t="s">
        <v>191</v>
      </c>
      <c r="F65" s="27" t="s">
        <v>20</v>
      </c>
      <c r="G65" s="27" t="s">
        <v>21</v>
      </c>
      <c r="H65" s="27" t="s">
        <v>203</v>
      </c>
      <c r="I65" s="28" t="str">
        <f>HYPERLINK("https://news.biglobe.ne.jp/economy/0214/prt_210214_0657210308.html","URLを開く")</f>
        <v>URLを開く</v>
      </c>
      <c r="J65" s="29" t="s">
        <v>23</v>
      </c>
      <c r="K65" s="29" t="s">
        <v>23</v>
      </c>
    </row>
    <row r="66" spans="1:11">
      <c r="A66" s="25" t="s">
        <v>15</v>
      </c>
      <c r="B66" s="25" t="s">
        <v>16</v>
      </c>
      <c r="C66" s="26" t="s">
        <v>204</v>
      </c>
      <c r="D66" s="26" t="s">
        <v>205</v>
      </c>
      <c r="E66" s="27" t="s">
        <v>191</v>
      </c>
      <c r="F66" s="27" t="s">
        <v>20</v>
      </c>
      <c r="G66" s="27" t="s">
        <v>21</v>
      </c>
      <c r="H66" s="27" t="s">
        <v>206</v>
      </c>
      <c r="I66" s="28" t="str">
        <f>HYPERLINK("https://b2b-ch.infomart.co.jp/news/detail.page?IMNEWS4=2406222","URLを開く")</f>
        <v>URLを開く</v>
      </c>
      <c r="J66" s="29" t="s">
        <v>23</v>
      </c>
      <c r="K66" s="29" t="s">
        <v>23</v>
      </c>
    </row>
    <row r="67" spans="1:11">
      <c r="A67" s="25" t="s">
        <v>15</v>
      </c>
      <c r="B67" s="25" t="s">
        <v>16</v>
      </c>
      <c r="C67" s="26" t="s">
        <v>207</v>
      </c>
      <c r="D67" s="26" t="s">
        <v>208</v>
      </c>
      <c r="E67" s="27" t="s">
        <v>191</v>
      </c>
      <c r="F67" s="27" t="s">
        <v>20</v>
      </c>
      <c r="G67" s="27" t="s">
        <v>21</v>
      </c>
      <c r="H67" s="27" t="s">
        <v>209</v>
      </c>
      <c r="I67" s="28" t="str">
        <f>HYPERLINK("https://news.cube-soft.jp/release/730196","URLを開く")</f>
        <v>URLを開く</v>
      </c>
      <c r="J67" s="29" t="s">
        <v>23</v>
      </c>
      <c r="K67" s="29" t="s">
        <v>23</v>
      </c>
    </row>
    <row r="68" spans="1:11">
      <c r="A68" s="25" t="s">
        <v>15</v>
      </c>
      <c r="B68" s="25" t="s">
        <v>16</v>
      </c>
      <c r="C68" s="26" t="s">
        <v>103</v>
      </c>
      <c r="D68" s="26" t="s">
        <v>104</v>
      </c>
      <c r="E68" s="27" t="s">
        <v>191</v>
      </c>
      <c r="F68" s="27" t="s">
        <v>20</v>
      </c>
      <c r="G68" s="27" t="s">
        <v>33</v>
      </c>
      <c r="H68" s="27" t="s">
        <v>210</v>
      </c>
      <c r="I68" s="28" t="str">
        <f>HYPERLINK("https://www.excite.co.jp/news/article/Prtimes_2021-02-14-20320-334/","URLを開く")</f>
        <v>URLを開く</v>
      </c>
      <c r="J68" s="29" t="s">
        <v>23</v>
      </c>
      <c r="K68" s="29" t="s">
        <v>23</v>
      </c>
    </row>
    <row r="69" spans="1:11">
      <c r="A69" s="25" t="s">
        <v>15</v>
      </c>
      <c r="B69" s="25" t="s">
        <v>16</v>
      </c>
      <c r="C69" s="26" t="s">
        <v>109</v>
      </c>
      <c r="D69" s="26" t="s">
        <v>110</v>
      </c>
      <c r="E69" s="27" t="s">
        <v>191</v>
      </c>
      <c r="F69" s="27" t="s">
        <v>20</v>
      </c>
      <c r="G69" s="27" t="s">
        <v>21</v>
      </c>
      <c r="H69" s="27" t="s">
        <v>211</v>
      </c>
      <c r="I69" s="28" t="str">
        <f>HYPERLINK("https://news.infoseek.co.jp/article/prtimes_000000334_000020320/","URLを開く")</f>
        <v>URLを開く</v>
      </c>
      <c r="J69" s="29" t="s">
        <v>23</v>
      </c>
      <c r="K69" s="29" t="s">
        <v>23</v>
      </c>
    </row>
    <row r="70" spans="1:11">
      <c r="A70" s="25" t="s">
        <v>15</v>
      </c>
      <c r="B70" s="25" t="s">
        <v>16</v>
      </c>
      <c r="C70" s="26" t="s">
        <v>212</v>
      </c>
      <c r="D70" s="26" t="s">
        <v>213</v>
      </c>
      <c r="E70" s="27" t="s">
        <v>191</v>
      </c>
      <c r="F70" s="27" t="s">
        <v>20</v>
      </c>
      <c r="G70" s="27" t="s">
        <v>21</v>
      </c>
      <c r="H70" s="27" t="s">
        <v>214</v>
      </c>
      <c r="I70" s="28" t="str">
        <f>HYPERLINK("https://jbpress.ismedia.jp/ud/pressrelease/602887fd77656149fb090000","URLを開く")</f>
        <v>URLを開く</v>
      </c>
      <c r="J70" s="29" t="s">
        <v>23</v>
      </c>
      <c r="K70" s="29" t="s">
        <v>23</v>
      </c>
    </row>
    <row r="71" spans="1:11">
      <c r="A71" s="25" t="s">
        <v>15</v>
      </c>
      <c r="B71" s="25" t="s">
        <v>16</v>
      </c>
      <c r="C71" s="26" t="s">
        <v>42</v>
      </c>
      <c r="D71" s="26" t="s">
        <v>43</v>
      </c>
      <c r="E71" s="27" t="s">
        <v>191</v>
      </c>
      <c r="F71" s="27" t="s">
        <v>20</v>
      </c>
      <c r="G71" s="27" t="s">
        <v>33</v>
      </c>
      <c r="H71" s="27" t="s">
        <v>215</v>
      </c>
      <c r="I71" s="28" t="str">
        <f>HYPERLINK("https://news.line.me/articles/oa-rp31535/f64d3d492ed7","URLを開く")</f>
        <v>URLを開く</v>
      </c>
      <c r="J71" s="29" t="s">
        <v>23</v>
      </c>
      <c r="K71" s="29" t="s">
        <v>23</v>
      </c>
    </row>
    <row r="72" spans="1:11">
      <c r="A72" s="25" t="s">
        <v>15</v>
      </c>
      <c r="B72" s="25" t="s">
        <v>16</v>
      </c>
      <c r="C72" s="26" t="s">
        <v>95</v>
      </c>
      <c r="D72" s="26" t="s">
        <v>96</v>
      </c>
      <c r="E72" s="27" t="s">
        <v>191</v>
      </c>
      <c r="F72" s="27" t="s">
        <v>20</v>
      </c>
      <c r="G72" s="27" t="s">
        <v>21</v>
      </c>
      <c r="H72" s="27" t="s">
        <v>216</v>
      </c>
      <c r="I72" s="28" t="str">
        <f>HYPERLINK("https://www.mapion.co.jp/news/release/000000334.000020320-all/","URLを開く")</f>
        <v>URLを開く</v>
      </c>
      <c r="J72" s="29" t="s">
        <v>23</v>
      </c>
      <c r="K72" s="29" t="s">
        <v>23</v>
      </c>
    </row>
    <row r="73" spans="1:11">
      <c r="A73" s="25" t="s">
        <v>15</v>
      </c>
      <c r="B73" s="25" t="s">
        <v>16</v>
      </c>
      <c r="C73" s="26" t="s">
        <v>217</v>
      </c>
      <c r="D73" s="26" t="s">
        <v>218</v>
      </c>
      <c r="E73" s="27" t="s">
        <v>191</v>
      </c>
      <c r="F73" s="27" t="s">
        <v>20</v>
      </c>
      <c r="G73" s="27" t="s">
        <v>21</v>
      </c>
      <c r="H73" s="27" t="s">
        <v>219</v>
      </c>
      <c r="I73" s="28" t="str">
        <f>HYPERLINK("https://www.newscafe.ne.jp/release/prtimes2/20210214/642045.html","URLを開く")</f>
        <v>URLを開く</v>
      </c>
      <c r="J73" s="29" t="s">
        <v>23</v>
      </c>
      <c r="K73" s="29" t="s">
        <v>23</v>
      </c>
    </row>
    <row r="74" spans="1:11">
      <c r="A74" s="25" t="s">
        <v>15</v>
      </c>
      <c r="B74" s="25" t="s">
        <v>16</v>
      </c>
      <c r="C74" s="26" t="s">
        <v>220</v>
      </c>
      <c r="D74" s="26" t="s">
        <v>221</v>
      </c>
      <c r="E74" s="27" t="s">
        <v>191</v>
      </c>
      <c r="F74" s="27" t="s">
        <v>20</v>
      </c>
      <c r="G74" s="27" t="s">
        <v>21</v>
      </c>
      <c r="H74" s="27" t="s">
        <v>222</v>
      </c>
      <c r="I74" s="28" t="str">
        <f>HYPERLINK("http://www.oricon.co.jp/pressrelease/819896/","URLを開く")</f>
        <v>URLを開く</v>
      </c>
      <c r="J74" s="29" t="s">
        <v>23</v>
      </c>
      <c r="K74" s="29" t="s">
        <v>23</v>
      </c>
    </row>
    <row r="75" spans="1:11">
      <c r="A75" s="25" t="s">
        <v>15</v>
      </c>
      <c r="B75" s="25" t="s">
        <v>16</v>
      </c>
      <c r="C75" s="26" t="s">
        <v>223</v>
      </c>
      <c r="D75" s="26" t="s">
        <v>224</v>
      </c>
      <c r="E75" s="27" t="s">
        <v>191</v>
      </c>
      <c r="F75" s="27" t="s">
        <v>20</v>
      </c>
      <c r="G75" s="27" t="s">
        <v>21</v>
      </c>
      <c r="H75" s="27" t="s">
        <v>225</v>
      </c>
      <c r="I75" s="28" t="str">
        <f>HYPERLINK("https://straightpress.jp/company_news/detail?pr=000000334.000020320","URLを開く")</f>
        <v>URLを開く</v>
      </c>
      <c r="J75" s="29" t="s">
        <v>23</v>
      </c>
      <c r="K75" s="29" t="s">
        <v>23</v>
      </c>
    </row>
    <row r="76" spans="1:11">
      <c r="A76" s="25" t="s">
        <v>15</v>
      </c>
      <c r="B76" s="25" t="s">
        <v>16</v>
      </c>
      <c r="C76" s="26" t="s">
        <v>226</v>
      </c>
      <c r="D76" s="26" t="s">
        <v>227</v>
      </c>
      <c r="E76" s="27" t="s">
        <v>191</v>
      </c>
      <c r="F76" s="27" t="s">
        <v>20</v>
      </c>
      <c r="G76" s="27" t="s">
        <v>27</v>
      </c>
      <c r="H76" s="27" t="s">
        <v>228</v>
      </c>
      <c r="I76" s="28" t="str">
        <f>HYPERLINK("http://www.iza.ne.jp/kiji/pressrelease/news/210214/prl21021411090014-n1.html","URLを開く")</f>
        <v>URLを開く</v>
      </c>
      <c r="J76" s="29" t="s">
        <v>23</v>
      </c>
      <c r="K76" s="29" t="s">
        <v>23</v>
      </c>
    </row>
    <row r="77" spans="1:11">
      <c r="A77" s="25" t="s">
        <v>15</v>
      </c>
      <c r="B77" s="25" t="s">
        <v>16</v>
      </c>
      <c r="C77" s="26" t="s">
        <v>229</v>
      </c>
      <c r="D77" s="26" t="s">
        <v>230</v>
      </c>
      <c r="E77" s="27" t="s">
        <v>191</v>
      </c>
      <c r="F77" s="27" t="s">
        <v>20</v>
      </c>
      <c r="G77" s="27" t="s">
        <v>27</v>
      </c>
      <c r="H77" s="27" t="s">
        <v>231</v>
      </c>
      <c r="I77" s="28" t="str">
        <f>HYPERLINK("https://ure.pia.co.jp/articles/-/953918","URLを開く")</f>
        <v>URLを開く</v>
      </c>
      <c r="J77" s="29" t="s">
        <v>23</v>
      </c>
      <c r="K77" s="29" t="s">
        <v>23</v>
      </c>
    </row>
    <row r="78" spans="1:11">
      <c r="A78" s="25" t="s">
        <v>15</v>
      </c>
      <c r="B78" s="25" t="s">
        <v>16</v>
      </c>
      <c r="C78" s="26" t="s">
        <v>232</v>
      </c>
      <c r="D78" s="26" t="s">
        <v>233</v>
      </c>
      <c r="E78" s="27" t="s">
        <v>191</v>
      </c>
      <c r="F78" s="27" t="s">
        <v>20</v>
      </c>
      <c r="G78" s="27" t="s">
        <v>27</v>
      </c>
      <c r="H78" s="27" t="s">
        <v>234</v>
      </c>
      <c r="I78" s="28" t="str">
        <f>HYPERLINK("https://news.jorudan.co.jp/docs/news/detail.cgi?newsid=PT000334A000020320","URLを開く")</f>
        <v>URLを開く</v>
      </c>
      <c r="J78" s="29" t="s">
        <v>23</v>
      </c>
      <c r="K78" s="29" t="s">
        <v>23</v>
      </c>
    </row>
    <row r="79" spans="1:11">
      <c r="A79" s="25" t="s">
        <v>15</v>
      </c>
      <c r="B79" s="25" t="s">
        <v>16</v>
      </c>
      <c r="C79" s="26" t="s">
        <v>235</v>
      </c>
      <c r="D79" s="26" t="s">
        <v>236</v>
      </c>
      <c r="E79" s="27" t="s">
        <v>191</v>
      </c>
      <c r="F79" s="27" t="s">
        <v>20</v>
      </c>
      <c r="G79" s="27" t="s">
        <v>21</v>
      </c>
      <c r="H79" s="27" t="s">
        <v>237</v>
      </c>
      <c r="I79" s="28" t="str">
        <f>HYPERLINK("https://news.toremaga.com/release/others/1780443.html","URLを開く")</f>
        <v>URLを開く</v>
      </c>
      <c r="J79" s="29" t="s">
        <v>23</v>
      </c>
      <c r="K79" s="29" t="s">
        <v>23</v>
      </c>
    </row>
    <row r="80" spans="1:11">
      <c r="A80" s="25" t="s">
        <v>15</v>
      </c>
      <c r="B80" s="25" t="s">
        <v>16</v>
      </c>
      <c r="C80" s="26" t="s">
        <v>238</v>
      </c>
      <c r="D80" s="26" t="s">
        <v>239</v>
      </c>
      <c r="E80" s="27" t="s">
        <v>191</v>
      </c>
      <c r="F80" s="27" t="s">
        <v>20</v>
      </c>
      <c r="G80" s="27" t="s">
        <v>33</v>
      </c>
      <c r="H80" s="27" t="s">
        <v>240</v>
      </c>
      <c r="I80" s="28" t="str">
        <f>HYPERLINK("https://news.nicovideo.jp/watch/nw8937235","URLを開く")</f>
        <v>URLを開く</v>
      </c>
      <c r="J80" s="29" t="s">
        <v>23</v>
      </c>
      <c r="K80" s="29" t="s">
        <v>23</v>
      </c>
    </row>
    <row r="81" spans="1:11">
      <c r="A81" s="25" t="s">
        <v>15</v>
      </c>
      <c r="B81" s="25" t="s">
        <v>16</v>
      </c>
      <c r="C81" s="26" t="s">
        <v>241</v>
      </c>
      <c r="D81" s="26" t="s">
        <v>242</v>
      </c>
      <c r="E81" s="27" t="s">
        <v>191</v>
      </c>
      <c r="F81" s="27" t="s">
        <v>20</v>
      </c>
      <c r="G81" s="27" t="s">
        <v>21</v>
      </c>
      <c r="H81" s="27" t="s">
        <v>243</v>
      </c>
      <c r="I81" s="28" t="str">
        <f>HYPERLINK("https://www.jiji.com/jc/article?g=prt&amp;k=000000334.000020320","URLを開く")</f>
        <v>URLを開く</v>
      </c>
      <c r="J81" s="29" t="s">
        <v>23</v>
      </c>
      <c r="K81" s="29" t="s">
        <v>23</v>
      </c>
    </row>
    <row r="82" spans="1:11">
      <c r="A82" s="25" t="s">
        <v>15</v>
      </c>
      <c r="B82" s="25" t="s">
        <v>16</v>
      </c>
      <c r="C82" s="26" t="s">
        <v>244</v>
      </c>
      <c r="D82" s="26" t="s">
        <v>160</v>
      </c>
      <c r="E82" s="27" t="s">
        <v>191</v>
      </c>
      <c r="F82" s="27" t="s">
        <v>20</v>
      </c>
      <c r="G82" s="27" t="s">
        <v>21</v>
      </c>
      <c r="H82" s="27" t="s">
        <v>245</v>
      </c>
      <c r="I82" s="28" t="str">
        <f>HYPERLINK("https://www.asahi.com/and_M/pressrelease/pre_23540158/","URLを開く")</f>
        <v>URLを開く</v>
      </c>
      <c r="J82" s="29" t="s">
        <v>23</v>
      </c>
      <c r="K82" s="29" t="s">
        <v>23</v>
      </c>
    </row>
    <row r="83" spans="1:11">
      <c r="A83" s="25" t="s">
        <v>15</v>
      </c>
      <c r="B83" s="25" t="s">
        <v>16</v>
      </c>
      <c r="C83" s="26" t="s">
        <v>246</v>
      </c>
      <c r="D83" s="26" t="s">
        <v>247</v>
      </c>
      <c r="E83" s="27" t="s">
        <v>191</v>
      </c>
      <c r="F83" s="27" t="s">
        <v>20</v>
      </c>
      <c r="G83" s="27" t="s">
        <v>21</v>
      </c>
      <c r="H83" s="27" t="s">
        <v>248</v>
      </c>
      <c r="I83" s="28" t="str">
        <f>HYPERLINK("https://toyokeizai.net/ud/pressrelease/60288c107765618fcc150000","URLを開く")</f>
        <v>URLを開く</v>
      </c>
      <c r="J83" s="29" t="s">
        <v>23</v>
      </c>
      <c r="K83" s="29" t="s">
        <v>23</v>
      </c>
    </row>
    <row r="84" spans="1:11">
      <c r="A84" s="25" t="s">
        <v>15</v>
      </c>
      <c r="B84" s="25" t="s">
        <v>16</v>
      </c>
      <c r="C84" s="26" t="s">
        <v>178</v>
      </c>
      <c r="D84" s="26" t="s">
        <v>179</v>
      </c>
      <c r="E84" s="27" t="s">
        <v>191</v>
      </c>
      <c r="F84" s="27" t="s">
        <v>20</v>
      </c>
      <c r="G84" s="27" t="s">
        <v>21</v>
      </c>
      <c r="H84" s="27" t="s">
        <v>249</v>
      </c>
      <c r="I84" s="28" t="str">
        <f>HYPERLINK("https://gendai.ismedia.jp/ud/pressrelease/60288c0e7765618e9d170000","URLを開く")</f>
        <v>URLを開く</v>
      </c>
      <c r="J84" s="29" t="s">
        <v>23</v>
      </c>
      <c r="K84" s="29" t="s">
        <v>23</v>
      </c>
    </row>
    <row r="85" spans="1:11">
      <c r="A85" s="25" t="s">
        <v>15</v>
      </c>
      <c r="B85" s="25" t="s">
        <v>16</v>
      </c>
      <c r="C85" s="26" t="s">
        <v>250</v>
      </c>
      <c r="D85" s="26" t="s">
        <v>227</v>
      </c>
      <c r="E85" s="27" t="s">
        <v>191</v>
      </c>
      <c r="F85" s="27" t="s">
        <v>20</v>
      </c>
      <c r="G85" s="27" t="s">
        <v>27</v>
      </c>
      <c r="H85" s="27" t="s">
        <v>251</v>
      </c>
      <c r="I85" s="28" t="str">
        <f>HYPERLINK("https://www.sankei.com/economy/news/210214/prl2102140015-n1.html","URLを開く")</f>
        <v>URLを開く</v>
      </c>
      <c r="J85" s="29" t="s">
        <v>23</v>
      </c>
      <c r="K85" s="29" t="s">
        <v>23</v>
      </c>
    </row>
    <row r="86" spans="1:11">
      <c r="A86" s="25" t="s">
        <v>15</v>
      </c>
      <c r="B86" s="25" t="s">
        <v>16</v>
      </c>
      <c r="C86" s="26" t="s">
        <v>252</v>
      </c>
      <c r="D86" s="26" t="s">
        <v>253</v>
      </c>
      <c r="E86" s="27" t="s">
        <v>191</v>
      </c>
      <c r="F86" s="27" t="s">
        <v>20</v>
      </c>
      <c r="G86" s="27" t="s">
        <v>21</v>
      </c>
      <c r="H86" s="27" t="s">
        <v>254</v>
      </c>
      <c r="I86" s="28" t="str">
        <f>HYPERLINK("https://yab.yomiuri.co.jp/adv/feature/release/detail/000000334000020320.html","URLを開く")</f>
        <v>URLを開く</v>
      </c>
      <c r="J86" s="29" t="s">
        <v>23</v>
      </c>
      <c r="K86" s="29" t="s">
        <v>23</v>
      </c>
    </row>
    <row r="87" spans="1:11">
      <c r="A87" s="25" t="s">
        <v>15</v>
      </c>
      <c r="B87" s="25" t="s">
        <v>16</v>
      </c>
      <c r="C87" s="26" t="s">
        <v>255</v>
      </c>
      <c r="D87" s="26" t="s">
        <v>256</v>
      </c>
      <c r="E87" s="27" t="s">
        <v>191</v>
      </c>
      <c r="F87" s="27" t="s">
        <v>20</v>
      </c>
      <c r="G87" s="27" t="s">
        <v>21</v>
      </c>
      <c r="H87" s="27" t="s">
        <v>257</v>
      </c>
      <c r="I87" s="28" t="str">
        <f>HYPERLINK("https://www.zaikei.co.jp/releases/1217210/","URLを開く")</f>
        <v>URLを開く</v>
      </c>
      <c r="J87" s="29" t="s">
        <v>23</v>
      </c>
      <c r="K87" s="29" t="s">
        <v>23</v>
      </c>
    </row>
    <row r="88" spans="1:11">
      <c r="A88" s="25" t="s">
        <v>15</v>
      </c>
      <c r="B88" s="25" t="s">
        <v>16</v>
      </c>
      <c r="C88" s="26" t="s">
        <v>258</v>
      </c>
      <c r="D88" s="26" t="s">
        <v>259</v>
      </c>
      <c r="E88" s="27" t="s">
        <v>260</v>
      </c>
      <c r="F88" s="27" t="s">
        <v>20</v>
      </c>
      <c r="G88" s="27" t="s">
        <v>21</v>
      </c>
      <c r="H88" s="27" t="s">
        <v>261</v>
      </c>
      <c r="I88" s="28" t="str">
        <f>HYPERLINK("https://number.bunshun.jp/ud/pressrelease/60288ba277656123fc060000","URLを開く")</f>
        <v>URLを開く</v>
      </c>
      <c r="J88" s="29" t="s">
        <v>23</v>
      </c>
      <c r="K88" s="29" t="s">
        <v>23</v>
      </c>
    </row>
    <row r="89" spans="1:11">
      <c r="A89" s="25" t="s">
        <v>15</v>
      </c>
      <c r="B89" s="25" t="s">
        <v>16</v>
      </c>
      <c r="C89" s="26" t="s">
        <v>142</v>
      </c>
      <c r="D89" s="26" t="s">
        <v>143</v>
      </c>
      <c r="E89" s="27" t="s">
        <v>262</v>
      </c>
      <c r="F89" s="27" t="s">
        <v>20</v>
      </c>
      <c r="G89" s="27" t="s">
        <v>33</v>
      </c>
      <c r="H89" s="27" t="s">
        <v>263</v>
      </c>
      <c r="I89" s="28" t="str">
        <f>HYPERLINK("https://news.goo.ne.jp/article/nishinippon_nsp/sports/nishinippon_nsp-2000692748.html","URLを開く")</f>
        <v>URLを開く</v>
      </c>
      <c r="J89" s="29" t="s">
        <v>23</v>
      </c>
      <c r="K89" s="29" t="s">
        <v>23</v>
      </c>
    </row>
    <row r="90" spans="1:11">
      <c r="A90" s="25" t="s">
        <v>15</v>
      </c>
      <c r="B90" s="25" t="s">
        <v>16</v>
      </c>
      <c r="C90" s="26" t="s">
        <v>46</v>
      </c>
      <c r="D90" s="26" t="s">
        <v>47</v>
      </c>
      <c r="E90" s="27" t="s">
        <v>262</v>
      </c>
      <c r="F90" s="27" t="s">
        <v>20</v>
      </c>
      <c r="G90" s="27" t="s">
        <v>33</v>
      </c>
      <c r="H90" s="27" t="s">
        <v>264</v>
      </c>
      <c r="I90" s="28" t="str">
        <f>HYPERLINK(" "," ")</f>
        <v xml:space="preserve"> </v>
      </c>
      <c r="J90" s="29" t="s">
        <v>23</v>
      </c>
      <c r="K90" s="29" t="s">
        <v>23</v>
      </c>
    </row>
    <row r="91" spans="1:11">
      <c r="A91" s="25" t="s">
        <v>15</v>
      </c>
      <c r="B91" s="25" t="s">
        <v>16</v>
      </c>
      <c r="C91" s="26" t="s">
        <v>265</v>
      </c>
      <c r="D91" s="26" t="s">
        <v>266</v>
      </c>
      <c r="E91" s="27" t="s">
        <v>262</v>
      </c>
      <c r="F91" s="27" t="s">
        <v>20</v>
      </c>
      <c r="G91" s="27" t="s">
        <v>27</v>
      </c>
      <c r="H91" s="27" t="s">
        <v>267</v>
      </c>
      <c r="I91" s="28" t="str">
        <f>HYPERLINK("https://www.nishinippon.co.jp/nsp/item/n/692748/","URLを開く")</f>
        <v>URLを開く</v>
      </c>
      <c r="J91" s="29" t="s">
        <v>29</v>
      </c>
      <c r="K91" s="29" t="s">
        <v>23</v>
      </c>
    </row>
    <row r="92" spans="1:11">
      <c r="A92" s="25" t="s">
        <v>15</v>
      </c>
      <c r="B92" s="25" t="s">
        <v>16</v>
      </c>
      <c r="C92" s="26" t="s">
        <v>146</v>
      </c>
      <c r="D92" s="26" t="s">
        <v>147</v>
      </c>
      <c r="E92" s="27" t="s">
        <v>268</v>
      </c>
      <c r="F92" s="27" t="s">
        <v>20</v>
      </c>
      <c r="G92" s="27" t="s">
        <v>33</v>
      </c>
      <c r="H92" s="27" t="s">
        <v>269</v>
      </c>
      <c r="I92" s="28" t="str">
        <f>HYPERLINK("http://topics.smt.docomo.ne.jp/article/nishinippon_nsp/sports/nishinippon_nsp-2000692748?fm=latestnews","URLを開く")</f>
        <v>URLを開く</v>
      </c>
      <c r="J92" s="29" t="s">
        <v>23</v>
      </c>
      <c r="K92" s="29" t="s">
        <v>23</v>
      </c>
    </row>
    <row r="93" spans="1:11">
      <c r="A93" s="25" t="s">
        <v>15</v>
      </c>
      <c r="B93" s="25" t="s">
        <v>16</v>
      </c>
      <c r="C93" s="26" t="s">
        <v>270</v>
      </c>
      <c r="D93" s="26" t="s">
        <v>271</v>
      </c>
      <c r="E93" s="27" t="s">
        <v>272</v>
      </c>
      <c r="F93" s="27" t="s">
        <v>93</v>
      </c>
      <c r="G93" s="27" t="s">
        <v>27</v>
      </c>
      <c r="H93" s="27" t="s">
        <v>273</v>
      </c>
      <c r="I93" s="28" t="str">
        <f>HYPERLINK("https://nonno.hpplus.jp/article/65627","URLを開く")</f>
        <v>URLを開く</v>
      </c>
      <c r="J93" s="29" t="s">
        <v>23</v>
      </c>
      <c r="K93" s="29" t="s">
        <v>23</v>
      </c>
    </row>
    <row r="94" spans="1:11">
      <c r="A94" s="25" t="s">
        <v>15</v>
      </c>
      <c r="B94" s="25" t="s">
        <v>16</v>
      </c>
      <c r="C94" s="26" t="s">
        <v>50</v>
      </c>
      <c r="D94" s="26" t="s">
        <v>51</v>
      </c>
      <c r="E94" s="27" t="s">
        <v>274</v>
      </c>
      <c r="F94" s="27" t="s">
        <v>20</v>
      </c>
      <c r="G94" s="27" t="s">
        <v>33</v>
      </c>
      <c r="H94" s="27" t="s">
        <v>275</v>
      </c>
      <c r="I94" s="28" t="str">
        <f>HYPERLINK("https://news.yahoo.co.jp/articles/9908c7deca99193811394502a0d1fa9a29823a6d","URLを開く")</f>
        <v>URLを開く</v>
      </c>
      <c r="J94" s="29" t="s">
        <v>23</v>
      </c>
      <c r="K94" s="29" t="s">
        <v>23</v>
      </c>
    </row>
    <row r="95" spans="1:11">
      <c r="A95" s="25" t="s">
        <v>15</v>
      </c>
      <c r="B95" s="25" t="s">
        <v>16</v>
      </c>
      <c r="C95" s="26" t="s">
        <v>142</v>
      </c>
      <c r="D95" s="26" t="s">
        <v>143</v>
      </c>
      <c r="E95" s="27" t="s">
        <v>276</v>
      </c>
      <c r="F95" s="27" t="s">
        <v>40</v>
      </c>
      <c r="G95" s="27" t="s">
        <v>33</v>
      </c>
      <c r="H95" s="27" t="s">
        <v>277</v>
      </c>
      <c r="I95" s="28" t="str">
        <f>HYPERLINK("https://news.goo.ne.jp/article/sportes/sports/sportes-35087.html","URLを開く")</f>
        <v>URLを開く</v>
      </c>
      <c r="J95" s="29" t="s">
        <v>23</v>
      </c>
      <c r="K95" s="29" t="s">
        <v>23</v>
      </c>
    </row>
    <row r="96" spans="1:11">
      <c r="A96" s="25" t="s">
        <v>15</v>
      </c>
      <c r="B96" s="25" t="s">
        <v>16</v>
      </c>
      <c r="C96" s="26" t="s">
        <v>42</v>
      </c>
      <c r="D96" s="26" t="s">
        <v>43</v>
      </c>
      <c r="E96" s="27" t="s">
        <v>276</v>
      </c>
      <c r="F96" s="27" t="s">
        <v>40</v>
      </c>
      <c r="G96" s="27" t="s">
        <v>33</v>
      </c>
      <c r="H96" s="27" t="s">
        <v>278</v>
      </c>
      <c r="I96" s="28" t="str">
        <f>HYPERLINK("https://news.line.me/articles/oa-rp62097/f3ab5bb0d18a","URLを開く")</f>
        <v>URLを開く</v>
      </c>
      <c r="J96" s="29" t="s">
        <v>23</v>
      </c>
      <c r="K96" s="29" t="s">
        <v>23</v>
      </c>
    </row>
    <row r="97" spans="1:11">
      <c r="A97" s="25" t="s">
        <v>15</v>
      </c>
      <c r="B97" s="25" t="s">
        <v>16</v>
      </c>
      <c r="C97" s="26" t="s">
        <v>279</v>
      </c>
      <c r="D97" s="26" t="s">
        <v>43</v>
      </c>
      <c r="E97" s="27" t="s">
        <v>276</v>
      </c>
      <c r="F97" s="27" t="s">
        <v>40</v>
      </c>
      <c r="G97" s="27" t="s">
        <v>33</v>
      </c>
      <c r="H97" s="27" t="s">
        <v>280</v>
      </c>
      <c r="I97" s="28" t="str">
        <f>HYPERLINK("https://news.livedoor.com/article/detail/19694292/","URLを開く")</f>
        <v>URLを開く</v>
      </c>
      <c r="J97" s="29" t="s">
        <v>23</v>
      </c>
      <c r="K97" s="29" t="s">
        <v>23</v>
      </c>
    </row>
    <row r="98" spans="1:11">
      <c r="A98" s="25" t="s">
        <v>15</v>
      </c>
      <c r="B98" s="25" t="s">
        <v>16</v>
      </c>
      <c r="C98" s="26" t="s">
        <v>162</v>
      </c>
      <c r="D98" s="26" t="s">
        <v>163</v>
      </c>
      <c r="E98" s="27" t="s">
        <v>276</v>
      </c>
      <c r="F98" s="27" t="s">
        <v>40</v>
      </c>
      <c r="G98" s="27" t="s">
        <v>33</v>
      </c>
      <c r="H98" s="27" t="s">
        <v>281</v>
      </c>
      <c r="I98" s="28" t="str">
        <f>HYPERLINK("https://gunosy.com/articles/eQlOW","URLを開く")</f>
        <v>URLを開く</v>
      </c>
      <c r="J98" s="29" t="s">
        <v>23</v>
      </c>
      <c r="K98" s="29" t="s">
        <v>23</v>
      </c>
    </row>
    <row r="99" spans="1:11">
      <c r="A99" s="25" t="s">
        <v>15</v>
      </c>
      <c r="B99" s="25" t="s">
        <v>16</v>
      </c>
      <c r="C99" s="26" t="s">
        <v>282</v>
      </c>
      <c r="D99" s="26" t="s">
        <v>283</v>
      </c>
      <c r="E99" s="27" t="s">
        <v>284</v>
      </c>
      <c r="F99" s="27" t="s">
        <v>40</v>
      </c>
      <c r="G99" s="27" t="s">
        <v>33</v>
      </c>
      <c r="H99" s="27" t="s">
        <v>285</v>
      </c>
      <c r="I99" s="28" t="str">
        <f>HYPERLINK("https://sportsbull.jp/p/949795/","URLを開く")</f>
        <v>URLを開く</v>
      </c>
      <c r="J99" s="29" t="s">
        <v>23</v>
      </c>
      <c r="K99" s="29" t="s">
        <v>23</v>
      </c>
    </row>
    <row r="100" spans="1:11">
      <c r="A100" s="25" t="s">
        <v>15</v>
      </c>
      <c r="B100" s="25" t="s">
        <v>16</v>
      </c>
      <c r="C100" s="26" t="s">
        <v>146</v>
      </c>
      <c r="D100" s="26" t="s">
        <v>147</v>
      </c>
      <c r="E100" s="27" t="s">
        <v>286</v>
      </c>
      <c r="F100" s="27" t="s">
        <v>40</v>
      </c>
      <c r="G100" s="27" t="s">
        <v>33</v>
      </c>
      <c r="H100" s="27" t="s">
        <v>287</v>
      </c>
      <c r="I100" s="28" t="str">
        <f>HYPERLINK("http://topics.smt.docomo.ne.jp/article/sportes/sports/sportes-35087?fm=latestnews","URLを開く")</f>
        <v>URLを開く</v>
      </c>
      <c r="J100" s="29" t="s">
        <v>23</v>
      </c>
      <c r="K100" s="29" t="s">
        <v>23</v>
      </c>
    </row>
    <row r="101" spans="1:11">
      <c r="A101" s="25" t="s">
        <v>15</v>
      </c>
      <c r="B101" s="25" t="s">
        <v>16</v>
      </c>
      <c r="C101" s="26" t="s">
        <v>42</v>
      </c>
      <c r="D101" s="26" t="s">
        <v>43</v>
      </c>
      <c r="E101" s="27" t="s">
        <v>288</v>
      </c>
      <c r="F101" s="27" t="s">
        <v>20</v>
      </c>
      <c r="G101" s="27" t="s">
        <v>33</v>
      </c>
      <c r="H101" s="27" t="s">
        <v>289</v>
      </c>
      <c r="I101" s="28" t="str">
        <f>HYPERLINK("https://news.line.me/issue/oa-domani828/c527ylnbovj6","URLを開く")</f>
        <v>URLを開く</v>
      </c>
      <c r="J101" s="29" t="s">
        <v>23</v>
      </c>
      <c r="K101" s="29" t="s">
        <v>23</v>
      </c>
    </row>
    <row r="102" spans="1:11">
      <c r="A102" s="25" t="s">
        <v>15</v>
      </c>
      <c r="B102" s="25" t="s">
        <v>16</v>
      </c>
      <c r="C102" s="26" t="s">
        <v>290</v>
      </c>
      <c r="D102" s="26" t="s">
        <v>291</v>
      </c>
      <c r="E102" s="27" t="s">
        <v>292</v>
      </c>
      <c r="F102" s="27" t="s">
        <v>65</v>
      </c>
      <c r="G102" s="27" t="s">
        <v>27</v>
      </c>
      <c r="H102" s="27" t="s">
        <v>293</v>
      </c>
      <c r="I102" s="28" t="str">
        <f>HYPERLINK("https://www.insightnow.jp/article/11140","URLを開く")</f>
        <v>URLを開く</v>
      </c>
      <c r="J102" s="29" t="s">
        <v>23</v>
      </c>
      <c r="K102" s="29" t="s">
        <v>23</v>
      </c>
    </row>
    <row r="103" spans="1:11">
      <c r="A103" s="25" t="s">
        <v>15</v>
      </c>
      <c r="B103" s="25" t="s">
        <v>16</v>
      </c>
      <c r="C103" s="26" t="s">
        <v>279</v>
      </c>
      <c r="D103" s="26" t="s">
        <v>43</v>
      </c>
      <c r="E103" s="27" t="s">
        <v>294</v>
      </c>
      <c r="F103" s="27" t="s">
        <v>65</v>
      </c>
      <c r="G103" s="27" t="s">
        <v>33</v>
      </c>
      <c r="H103" s="27" t="s">
        <v>295</v>
      </c>
      <c r="I103" s="28" t="str">
        <f>HYPERLINK("https://news.livedoor.com/article/detail/19693871/","URLを開く")</f>
        <v>URLを開く</v>
      </c>
      <c r="J103" s="29" t="s">
        <v>23</v>
      </c>
      <c r="K103" s="29" t="s">
        <v>23</v>
      </c>
    </row>
    <row r="104" spans="1:11">
      <c r="A104" s="25" t="s">
        <v>15</v>
      </c>
      <c r="B104" s="25" t="s">
        <v>16</v>
      </c>
      <c r="C104" s="26" t="s">
        <v>238</v>
      </c>
      <c r="D104" s="26" t="s">
        <v>239</v>
      </c>
      <c r="E104" s="27" t="s">
        <v>294</v>
      </c>
      <c r="F104" s="27" t="s">
        <v>65</v>
      </c>
      <c r="G104" s="27" t="s">
        <v>33</v>
      </c>
      <c r="H104" s="27" t="s">
        <v>296</v>
      </c>
      <c r="I104" s="28" t="str">
        <f>HYPERLINK("https://news.nicovideo.jp/watch/nw8936833","URLを開く")</f>
        <v>URLを開く</v>
      </c>
      <c r="J104" s="29" t="s">
        <v>23</v>
      </c>
      <c r="K104" s="29" t="s">
        <v>23</v>
      </c>
    </row>
    <row r="105" spans="1:11">
      <c r="A105" s="25" t="s">
        <v>15</v>
      </c>
      <c r="B105" s="25" t="s">
        <v>16</v>
      </c>
      <c r="C105" s="26" t="s">
        <v>297</v>
      </c>
      <c r="D105" s="26" t="s">
        <v>298</v>
      </c>
      <c r="E105" s="27" t="s">
        <v>299</v>
      </c>
      <c r="F105" s="27" t="s">
        <v>58</v>
      </c>
      <c r="G105" s="27" t="s">
        <v>33</v>
      </c>
      <c r="H105" s="27" t="s">
        <v>300</v>
      </c>
      <c r="I105" s="28" t="str">
        <f>HYPERLINK("https://www.47news.jp/localnews/5846061.html","URLを開く")</f>
        <v>URLを開く</v>
      </c>
      <c r="J105" s="29" t="s">
        <v>23</v>
      </c>
      <c r="K105" s="29" t="s">
        <v>23</v>
      </c>
    </row>
    <row r="106" spans="1:11">
      <c r="A106" s="25" t="s">
        <v>15</v>
      </c>
      <c r="B106" s="25" t="s">
        <v>16</v>
      </c>
      <c r="C106" s="26" t="s">
        <v>301</v>
      </c>
      <c r="D106" s="26" t="s">
        <v>302</v>
      </c>
      <c r="E106" s="27" t="s">
        <v>299</v>
      </c>
      <c r="F106" s="27" t="s">
        <v>58</v>
      </c>
      <c r="G106" s="27" t="s">
        <v>27</v>
      </c>
      <c r="H106" s="27" t="s">
        <v>303</v>
      </c>
      <c r="I106" s="28" t="str">
        <f>HYPERLINK("https://www.nnn.co.jp/news/210214/20210214004.html","URLを開く")</f>
        <v>URLを開く</v>
      </c>
      <c r="J106" s="29" t="s">
        <v>23</v>
      </c>
      <c r="K106" s="29" t="s">
        <v>23</v>
      </c>
    </row>
    <row r="107" spans="1:11">
      <c r="A107" s="25" t="s">
        <v>15</v>
      </c>
      <c r="B107" s="25" t="s">
        <v>16</v>
      </c>
      <c r="C107" s="26" t="s">
        <v>304</v>
      </c>
      <c r="D107" s="26" t="s">
        <v>271</v>
      </c>
      <c r="E107" s="27" t="s">
        <v>305</v>
      </c>
      <c r="F107" s="27" t="s">
        <v>40</v>
      </c>
      <c r="G107" s="27" t="s">
        <v>33</v>
      </c>
      <c r="H107" s="27" t="s">
        <v>306</v>
      </c>
      <c r="I107" s="28" t="str">
        <f>HYPERLINK("https://one.hpplus.jp/lee/132629","URLを開く")</f>
        <v>URLを開く</v>
      </c>
      <c r="J107" s="29" t="s">
        <v>23</v>
      </c>
      <c r="K107" s="29" t="s">
        <v>23</v>
      </c>
    </row>
    <row r="108" spans="1:11">
      <c r="A108" s="25" t="s">
        <v>15</v>
      </c>
      <c r="B108" s="25" t="s">
        <v>16</v>
      </c>
      <c r="C108" s="26" t="s">
        <v>307</v>
      </c>
      <c r="D108" s="26" t="s">
        <v>271</v>
      </c>
      <c r="E108" s="27" t="s">
        <v>305</v>
      </c>
      <c r="F108" s="27" t="s">
        <v>40</v>
      </c>
      <c r="G108" s="27" t="s">
        <v>27</v>
      </c>
      <c r="H108" s="27" t="s">
        <v>308</v>
      </c>
      <c r="I108" s="28" t="str">
        <f>HYPERLINK("https://lee.hpplus.jp/column/1882957/","URLを開く")</f>
        <v>URLを開く</v>
      </c>
      <c r="J108" s="29" t="s">
        <v>23</v>
      </c>
      <c r="K108" s="29" t="s">
        <v>23</v>
      </c>
    </row>
    <row r="109" spans="1:11">
      <c r="A109" s="25" t="s">
        <v>15</v>
      </c>
      <c r="B109" s="25" t="s">
        <v>16</v>
      </c>
      <c r="C109" s="26" t="s">
        <v>95</v>
      </c>
      <c r="D109" s="26" t="s">
        <v>96</v>
      </c>
      <c r="E109" s="27" t="s">
        <v>309</v>
      </c>
      <c r="F109" s="27" t="s">
        <v>65</v>
      </c>
      <c r="G109" s="27" t="s">
        <v>21</v>
      </c>
      <c r="H109" s="27" t="s">
        <v>310</v>
      </c>
      <c r="I109" s="28" t="str">
        <f>HYPERLINK("https://www.mapion.co.jp/news/release/000000772.000031382-all/","URLを開く")</f>
        <v>URLを開く</v>
      </c>
      <c r="J109" s="29" t="s">
        <v>23</v>
      </c>
      <c r="K109" s="29" t="s">
        <v>23</v>
      </c>
    </row>
    <row r="110" spans="1:11">
      <c r="A110" s="25" t="s">
        <v>15</v>
      </c>
      <c r="B110" s="25" t="s">
        <v>16</v>
      </c>
      <c r="C110" s="26" t="s">
        <v>311</v>
      </c>
      <c r="D110" s="26" t="s">
        <v>23</v>
      </c>
      <c r="E110" s="27" t="s">
        <v>312</v>
      </c>
      <c r="F110" s="27" t="s">
        <v>20</v>
      </c>
      <c r="G110" s="27" t="s">
        <v>27</v>
      </c>
      <c r="H110" s="27" t="s">
        <v>313</v>
      </c>
      <c r="I110" s="28" t="str">
        <f>HYPERLINK("https://radsum.com/archives/27618","URLを開く")</f>
        <v>URLを開く</v>
      </c>
      <c r="J110" s="29" t="s">
        <v>23</v>
      </c>
      <c r="K110" s="29" t="s">
        <v>23</v>
      </c>
    </row>
    <row r="111" spans="1:11">
      <c r="A111" s="25" t="s">
        <v>15</v>
      </c>
      <c r="B111" s="25" t="s">
        <v>16</v>
      </c>
      <c r="C111" s="26" t="s">
        <v>314</v>
      </c>
      <c r="D111" s="26" t="s">
        <v>315</v>
      </c>
      <c r="E111" s="27" t="s">
        <v>316</v>
      </c>
      <c r="F111" s="27" t="s">
        <v>20</v>
      </c>
      <c r="G111" s="27" t="s">
        <v>21</v>
      </c>
      <c r="H111" s="27" t="s">
        <v>317</v>
      </c>
      <c r="I111" s="28" t="str">
        <f>HYPERLINK("https://news.fresheye.com/article/fenwnews2/1000003/20210213183927_pr_pr000000334-000020320/a/index.html","URLを開く")</f>
        <v>URLを開く</v>
      </c>
      <c r="J111" s="29" t="s">
        <v>23</v>
      </c>
      <c r="K111" s="29" t="s">
        <v>23</v>
      </c>
    </row>
    <row r="112" spans="1:11">
      <c r="A112" s="25" t="s">
        <v>15</v>
      </c>
      <c r="B112" s="25" t="s">
        <v>16</v>
      </c>
      <c r="C112" s="26" t="s">
        <v>314</v>
      </c>
      <c r="D112" s="26" t="s">
        <v>315</v>
      </c>
      <c r="E112" s="27" t="s">
        <v>318</v>
      </c>
      <c r="F112" s="27" t="s">
        <v>65</v>
      </c>
      <c r="G112" s="27" t="s">
        <v>21</v>
      </c>
      <c r="H112" s="27" t="s">
        <v>319</v>
      </c>
      <c r="I112" s="28" t="str">
        <f>HYPERLINK("https://news.fresheye.com/article/fenwnews2/1000003/20210212194504_pr_pr000000772-000031382/a/index.html","URLを開く")</f>
        <v>URLを開く</v>
      </c>
      <c r="J112" s="29" t="s">
        <v>23</v>
      </c>
      <c r="K112" s="29" t="s">
        <v>23</v>
      </c>
    </row>
    <row r="113" spans="1:11">
      <c r="A113" s="25" t="s">
        <v>15</v>
      </c>
      <c r="B113" s="25" t="s">
        <v>16</v>
      </c>
      <c r="C113" s="26" t="s">
        <v>99</v>
      </c>
      <c r="D113" s="26" t="s">
        <v>100</v>
      </c>
      <c r="E113" s="27" t="s">
        <v>320</v>
      </c>
      <c r="F113" s="27" t="s">
        <v>40</v>
      </c>
      <c r="G113" s="27" t="s">
        <v>33</v>
      </c>
      <c r="H113" s="27" t="s">
        <v>321</v>
      </c>
      <c r="I113" s="28" t="str">
        <f>HYPERLINK("https://news.nifty.com/article/item/neta/12261-964671/","URLを開く")</f>
        <v>URLを開く</v>
      </c>
      <c r="J113" s="29" t="s">
        <v>23</v>
      </c>
      <c r="K113" s="29" t="s">
        <v>23</v>
      </c>
    </row>
    <row r="114" spans="1:11">
      <c r="A114" s="25" t="s">
        <v>15</v>
      </c>
      <c r="B114" s="25" t="s">
        <v>16</v>
      </c>
      <c r="C114" s="26" t="s">
        <v>322</v>
      </c>
      <c r="D114" s="26" t="s">
        <v>323</v>
      </c>
      <c r="E114" s="27" t="s">
        <v>320</v>
      </c>
      <c r="F114" s="27" t="s">
        <v>40</v>
      </c>
      <c r="G114" s="27" t="s">
        <v>27</v>
      </c>
      <c r="H114" s="27" t="s">
        <v>324</v>
      </c>
      <c r="I114" s="28" t="str">
        <f>HYPERLINK("https://www.goodspress.jp/news/353512/","URLを開く")</f>
        <v>URLを開く</v>
      </c>
      <c r="J114" s="29" t="s">
        <v>23</v>
      </c>
      <c r="K114" s="29" t="s">
        <v>23</v>
      </c>
    </row>
    <row r="115" spans="1:11">
      <c r="A115" s="25" t="s">
        <v>15</v>
      </c>
      <c r="B115" s="25" t="s">
        <v>16</v>
      </c>
      <c r="C115" s="26" t="s">
        <v>325</v>
      </c>
      <c r="D115" s="26" t="s">
        <v>326</v>
      </c>
      <c r="E115" s="27" t="s">
        <v>320</v>
      </c>
      <c r="F115" s="27" t="s">
        <v>40</v>
      </c>
      <c r="G115" s="27" t="s">
        <v>33</v>
      </c>
      <c r="H115" s="27" t="s">
        <v>327</v>
      </c>
      <c r="I115" s="28" t="str">
        <f>HYPERLINK("https://news.headlines.auone.jp/stories/series/general/14190183","URLを開く")</f>
        <v>URLを開く</v>
      </c>
      <c r="J115" s="29" t="s">
        <v>23</v>
      </c>
      <c r="K115" s="29" t="s">
        <v>23</v>
      </c>
    </row>
    <row r="116" spans="1:11">
      <c r="A116" s="25" t="s">
        <v>15</v>
      </c>
      <c r="B116" s="25" t="s">
        <v>16</v>
      </c>
      <c r="C116" s="26" t="s">
        <v>109</v>
      </c>
      <c r="D116" s="26" t="s">
        <v>110</v>
      </c>
      <c r="E116" s="27" t="s">
        <v>320</v>
      </c>
      <c r="F116" s="27" t="s">
        <v>40</v>
      </c>
      <c r="G116" s="27" t="s">
        <v>33</v>
      </c>
      <c r="H116" s="27" t="s">
        <v>328</v>
      </c>
      <c r="I116" s="28" t="str">
        <f>HYPERLINK("https://news.infoseek.co.jp/article/goodspress_353512","URLを開く")</f>
        <v>URLを開く</v>
      </c>
      <c r="J116" s="29" t="s">
        <v>23</v>
      </c>
      <c r="K116" s="29" t="s">
        <v>23</v>
      </c>
    </row>
    <row r="117" spans="1:11">
      <c r="A117" s="25" t="s">
        <v>15</v>
      </c>
      <c r="B117" s="25" t="s">
        <v>16</v>
      </c>
      <c r="C117" s="26" t="s">
        <v>109</v>
      </c>
      <c r="D117" s="26" t="s">
        <v>110</v>
      </c>
      <c r="E117" s="27" t="s">
        <v>320</v>
      </c>
      <c r="F117" s="27" t="s">
        <v>40</v>
      </c>
      <c r="G117" s="27" t="s">
        <v>33</v>
      </c>
      <c r="H117" s="27" t="s">
        <v>329</v>
      </c>
      <c r="I117" s="28" t="str">
        <f>HYPERLINK("https://news.infoseek.co.jp/article/goodspress_353512/","URLを開く")</f>
        <v>URLを開く</v>
      </c>
      <c r="J117" s="29" t="s">
        <v>23</v>
      </c>
      <c r="K117" s="29" t="s">
        <v>23</v>
      </c>
    </row>
    <row r="118" spans="1:11">
      <c r="A118" s="25" t="s">
        <v>15</v>
      </c>
      <c r="B118" s="25" t="s">
        <v>16</v>
      </c>
      <c r="C118" s="26" t="s">
        <v>330</v>
      </c>
      <c r="D118" s="26" t="s">
        <v>23</v>
      </c>
      <c r="E118" s="27" t="s">
        <v>320</v>
      </c>
      <c r="F118" s="27" t="s">
        <v>40</v>
      </c>
      <c r="G118" s="27" t="s">
        <v>33</v>
      </c>
      <c r="H118" s="27" t="s">
        <v>331</v>
      </c>
      <c r="I118" s="28" t="str">
        <f>HYPERLINK("https://news.minory.org/304374.html","URLを開く")</f>
        <v>URLを開く</v>
      </c>
      <c r="J118" s="29" t="s">
        <v>23</v>
      </c>
      <c r="K118" s="29" t="s">
        <v>23</v>
      </c>
    </row>
    <row r="119" spans="1:11">
      <c r="A119" s="25" t="s">
        <v>15</v>
      </c>
      <c r="B119" s="25" t="s">
        <v>16</v>
      </c>
      <c r="C119" s="26" t="s">
        <v>279</v>
      </c>
      <c r="D119" s="26" t="s">
        <v>43</v>
      </c>
      <c r="E119" s="27" t="s">
        <v>320</v>
      </c>
      <c r="F119" s="27" t="s">
        <v>40</v>
      </c>
      <c r="G119" s="27" t="s">
        <v>33</v>
      </c>
      <c r="H119" s="27" t="s">
        <v>332</v>
      </c>
      <c r="I119" s="28" t="str">
        <f>HYPERLINK("https://news.livedoor.com/article/detail/19696526/","URLを開く")</f>
        <v>URLを開く</v>
      </c>
      <c r="J119" s="29" t="s">
        <v>23</v>
      </c>
      <c r="K119" s="29" t="s">
        <v>23</v>
      </c>
    </row>
    <row r="120" spans="1:11">
      <c r="A120" s="25" t="s">
        <v>15</v>
      </c>
      <c r="B120" s="25" t="s">
        <v>16</v>
      </c>
      <c r="C120" s="26" t="s">
        <v>333</v>
      </c>
      <c r="D120" s="26" t="s">
        <v>334</v>
      </c>
      <c r="E120" s="27" t="s">
        <v>335</v>
      </c>
      <c r="F120" s="27" t="s">
        <v>40</v>
      </c>
      <c r="G120" s="27" t="s">
        <v>33</v>
      </c>
      <c r="H120" s="27" t="s">
        <v>336</v>
      </c>
      <c r="I120" s="28" t="str">
        <f>HYPERLINK("https://sotoshiru.com/articles/120393","URLを開く")</f>
        <v>URLを開く</v>
      </c>
      <c r="J120" s="29" t="s">
        <v>23</v>
      </c>
      <c r="K120" s="29" t="s">
        <v>23</v>
      </c>
    </row>
    <row r="121" spans="1:11">
      <c r="A121" s="25" t="s">
        <v>15</v>
      </c>
      <c r="B121" s="25" t="s">
        <v>16</v>
      </c>
      <c r="C121" s="26" t="s">
        <v>337</v>
      </c>
      <c r="D121" s="26" t="s">
        <v>338</v>
      </c>
      <c r="E121" s="27" t="s">
        <v>339</v>
      </c>
      <c r="F121" s="27" t="s">
        <v>65</v>
      </c>
      <c r="G121" s="27" t="s">
        <v>33</v>
      </c>
      <c r="H121" s="27" t="s">
        <v>340</v>
      </c>
      <c r="I121" s="28" t="str">
        <f>HYPERLINK("https://article.auone.jp/detail/1/1/1/51_1_r_20210213_1613225261895341","URLを開く")</f>
        <v>URLを開く</v>
      </c>
      <c r="J121" s="29" t="s">
        <v>23</v>
      </c>
      <c r="K121" s="29" t="s">
        <v>23</v>
      </c>
    </row>
    <row r="122" spans="1:11">
      <c r="A122" s="25" t="s">
        <v>15</v>
      </c>
      <c r="B122" s="25" t="s">
        <v>16</v>
      </c>
      <c r="C122" s="26" t="s">
        <v>103</v>
      </c>
      <c r="D122" s="26" t="s">
        <v>104</v>
      </c>
      <c r="E122" s="27" t="s">
        <v>339</v>
      </c>
      <c r="F122" s="27" t="s">
        <v>65</v>
      </c>
      <c r="G122" s="27" t="s">
        <v>33</v>
      </c>
      <c r="H122" s="27" t="s">
        <v>341</v>
      </c>
      <c r="I122" s="28" t="str">
        <f>HYPERLINK("https://www.excite.co.jp/news/article/Ignite_246201/","URLを開く")</f>
        <v>URLを開く</v>
      </c>
      <c r="J122" s="29" t="s">
        <v>23</v>
      </c>
      <c r="K122" s="29" t="s">
        <v>23</v>
      </c>
    </row>
    <row r="123" spans="1:11">
      <c r="A123" s="25" t="s">
        <v>15</v>
      </c>
      <c r="B123" s="25" t="s">
        <v>16</v>
      </c>
      <c r="C123" s="26" t="s">
        <v>342</v>
      </c>
      <c r="D123" s="26" t="s">
        <v>343</v>
      </c>
      <c r="E123" s="27" t="s">
        <v>339</v>
      </c>
      <c r="F123" s="27" t="s">
        <v>65</v>
      </c>
      <c r="G123" s="27" t="s">
        <v>33</v>
      </c>
      <c r="H123" s="27" t="s">
        <v>344</v>
      </c>
      <c r="I123" s="28" t="str">
        <f>HYPERLINK("https://news.merumo.ne.jp/article/genre/10467854","URLを開く")</f>
        <v>URLを開く</v>
      </c>
      <c r="J123" s="29" t="s">
        <v>23</v>
      </c>
      <c r="K123" s="29" t="s">
        <v>23</v>
      </c>
    </row>
    <row r="124" spans="1:11">
      <c r="A124" s="7" t="s">
        <v>345</v>
      </c>
      <c r="B124" s="7" t="s">
        <v>15</v>
      </c>
      <c r="C124" s="13" t="s">
        <v>346</v>
      </c>
      <c r="D124" s="13" t="s">
        <v>347</v>
      </c>
      <c r="E124" s="5" t="s">
        <v>348</v>
      </c>
      <c r="F124" s="5" t="s">
        <v>20</v>
      </c>
      <c r="G124" s="5" t="s">
        <v>27</v>
      </c>
      <c r="H124" s="5" t="s">
        <v>349</v>
      </c>
      <c r="I124" s="6" t="str">
        <f>HYPERLINK("https://tarzanweb.jp/post-227631","URLを開く")</f>
        <v>URLを開く</v>
      </c>
      <c r="J124" s="10" t="s">
        <v>23</v>
      </c>
      <c r="K124" s="10" t="s">
        <v>23</v>
      </c>
    </row>
    <row r="125" spans="1:11">
      <c r="A125" s="7" t="s">
        <v>345</v>
      </c>
      <c r="B125" s="7" t="s">
        <v>15</v>
      </c>
      <c r="C125" s="13" t="s">
        <v>325</v>
      </c>
      <c r="D125" s="13" t="s">
        <v>326</v>
      </c>
      <c r="E125" s="5" t="s">
        <v>44</v>
      </c>
      <c r="F125" s="5" t="s">
        <v>40</v>
      </c>
      <c r="G125" s="5" t="s">
        <v>33</v>
      </c>
      <c r="H125" s="5" t="s">
        <v>350</v>
      </c>
      <c r="I125" s="6" t="str">
        <f>HYPERLINK("https://news.headlines.auone.jp/stories/topics/story/14187566","URLを開く")</f>
        <v>URLを開く</v>
      </c>
      <c r="J125" s="10" t="s">
        <v>23</v>
      </c>
      <c r="K125" s="10" t="s">
        <v>23</v>
      </c>
    </row>
    <row r="126" spans="1:11">
      <c r="A126" s="7" t="s">
        <v>345</v>
      </c>
      <c r="B126" s="7" t="s">
        <v>15</v>
      </c>
      <c r="C126" s="13" t="s">
        <v>201</v>
      </c>
      <c r="D126" s="13" t="s">
        <v>202</v>
      </c>
      <c r="E126" s="5" t="s">
        <v>44</v>
      </c>
      <c r="F126" s="5" t="s">
        <v>40</v>
      </c>
      <c r="G126" s="5" t="s">
        <v>33</v>
      </c>
      <c r="H126" s="5" t="s">
        <v>351</v>
      </c>
      <c r="I126" s="6" t="str">
        <f>HYPERLINK("https://news.biglobe.ne.jp/trend/0213/huf_210213_0508014182.html","URLを開く")</f>
        <v>URLを開く</v>
      </c>
      <c r="J126" s="10" t="s">
        <v>23</v>
      </c>
      <c r="K126" s="10" t="s">
        <v>23</v>
      </c>
    </row>
    <row r="127" spans="1:11">
      <c r="A127" s="7" t="s">
        <v>345</v>
      </c>
      <c r="B127" s="7" t="s">
        <v>15</v>
      </c>
      <c r="C127" s="13" t="s">
        <v>142</v>
      </c>
      <c r="D127" s="13" t="s">
        <v>143</v>
      </c>
      <c r="E127" s="5" t="s">
        <v>44</v>
      </c>
      <c r="F127" s="5" t="s">
        <v>40</v>
      </c>
      <c r="G127" s="5" t="s">
        <v>33</v>
      </c>
      <c r="H127" s="5" t="s">
        <v>352</v>
      </c>
      <c r="I127" s="6" t="str">
        <f>HYPERLINK("https://news.goo.ne.jp/article/huffingtonpost/entertainment/huffingtonpost-602763f9c5b6d667582cf630.html","URLを開く")</f>
        <v>URLを開く</v>
      </c>
      <c r="J127" s="10" t="s">
        <v>23</v>
      </c>
      <c r="K127" s="10" t="s">
        <v>23</v>
      </c>
    </row>
    <row r="128" spans="1:11">
      <c r="A128" s="7" t="s">
        <v>345</v>
      </c>
      <c r="B128" s="7" t="s">
        <v>15</v>
      </c>
      <c r="C128" s="13" t="s">
        <v>142</v>
      </c>
      <c r="D128" s="13" t="s">
        <v>143</v>
      </c>
      <c r="E128" s="5" t="s">
        <v>44</v>
      </c>
      <c r="F128" s="5" t="s">
        <v>40</v>
      </c>
      <c r="G128" s="5" t="s">
        <v>33</v>
      </c>
      <c r="H128" s="5" t="s">
        <v>353</v>
      </c>
      <c r="I128" s="6" t="str">
        <f>HYPERLINK("https://news.goo.ne.jp/picture/entertainment/huffingtonpost-602763f9c5b6d667582cf630.html","URLを開く")</f>
        <v>URLを開く</v>
      </c>
      <c r="J128" s="10" t="s">
        <v>23</v>
      </c>
      <c r="K128" s="10" t="s">
        <v>23</v>
      </c>
    </row>
    <row r="129" spans="1:11">
      <c r="A129" s="7" t="s">
        <v>345</v>
      </c>
      <c r="B129" s="7" t="s">
        <v>15</v>
      </c>
      <c r="C129" s="13" t="s">
        <v>354</v>
      </c>
      <c r="D129" s="13" t="s">
        <v>80</v>
      </c>
      <c r="E129" s="5" t="s">
        <v>44</v>
      </c>
      <c r="F129" s="5" t="s">
        <v>40</v>
      </c>
      <c r="G129" s="5" t="s">
        <v>33</v>
      </c>
      <c r="H129" s="5" t="s">
        <v>355</v>
      </c>
      <c r="I129" s="6" t="str">
        <f>HYPERLINK("https://newscollect.jp/article/?id=733245827704553472","URLを開く")</f>
        <v>URLを開く</v>
      </c>
      <c r="J129" s="10" t="s">
        <v>23</v>
      </c>
      <c r="K129" s="10" t="s">
        <v>23</v>
      </c>
    </row>
    <row r="130" spans="1:11">
      <c r="A130" s="7" t="s">
        <v>345</v>
      </c>
      <c r="B130" s="7" t="s">
        <v>15</v>
      </c>
      <c r="C130" s="13" t="s">
        <v>354</v>
      </c>
      <c r="D130" s="13" t="s">
        <v>80</v>
      </c>
      <c r="E130" s="5" t="s">
        <v>44</v>
      </c>
      <c r="F130" s="5" t="s">
        <v>40</v>
      </c>
      <c r="G130" s="5" t="s">
        <v>33</v>
      </c>
      <c r="H130" s="5" t="s">
        <v>356</v>
      </c>
      <c r="I130" s="6" t="str">
        <f>HYPERLINK("https://newscollect.jp/article/?id=733245827704553472&amp;tid=9","URLを開く")</f>
        <v>URLを開く</v>
      </c>
      <c r="J130" s="10" t="s">
        <v>23</v>
      </c>
      <c r="K130" s="10" t="s">
        <v>23</v>
      </c>
    </row>
    <row r="131" spans="1:11">
      <c r="A131" s="7" t="s">
        <v>345</v>
      </c>
      <c r="B131" s="7" t="s">
        <v>15</v>
      </c>
      <c r="C131" s="13" t="s">
        <v>357</v>
      </c>
      <c r="D131" s="13" t="s">
        <v>358</v>
      </c>
      <c r="E131" s="5" t="s">
        <v>44</v>
      </c>
      <c r="F131" s="5" t="s">
        <v>40</v>
      </c>
      <c r="G131" s="5" t="s">
        <v>33</v>
      </c>
      <c r="H131" s="5" t="s">
        <v>359</v>
      </c>
      <c r="I131" s="6" t="str">
        <f>HYPERLINK("https://m.newspicks.com/news/5614927","URLを開く")</f>
        <v>URLを開く</v>
      </c>
      <c r="J131" s="10" t="s">
        <v>23</v>
      </c>
      <c r="K131" s="10" t="s">
        <v>23</v>
      </c>
    </row>
    <row r="132" spans="1:11">
      <c r="A132" s="7" t="s">
        <v>345</v>
      </c>
      <c r="B132" s="7" t="s">
        <v>15</v>
      </c>
      <c r="C132" s="13" t="s">
        <v>357</v>
      </c>
      <c r="D132" s="13" t="s">
        <v>358</v>
      </c>
      <c r="E132" s="5" t="s">
        <v>44</v>
      </c>
      <c r="F132" s="5" t="s">
        <v>40</v>
      </c>
      <c r="G132" s="5" t="s">
        <v>33</v>
      </c>
      <c r="H132" s="5" t="s">
        <v>360</v>
      </c>
      <c r="I132" s="6" t="str">
        <f>HYPERLINK("https://newspicks.com/news/5614927","URLを開く")</f>
        <v>URLを開く</v>
      </c>
      <c r="J132" s="10" t="s">
        <v>23</v>
      </c>
      <c r="K132" s="10" t="s">
        <v>23</v>
      </c>
    </row>
    <row r="133" spans="1:11">
      <c r="A133" s="7" t="s">
        <v>345</v>
      </c>
      <c r="B133" s="7" t="s">
        <v>15</v>
      </c>
      <c r="C133" s="13" t="s">
        <v>361</v>
      </c>
      <c r="D133" s="13" t="s">
        <v>362</v>
      </c>
      <c r="E133" s="5" t="s">
        <v>44</v>
      </c>
      <c r="F133" s="5" t="s">
        <v>40</v>
      </c>
      <c r="G133" s="5" t="s">
        <v>33</v>
      </c>
      <c r="H133" s="5" t="s">
        <v>363</v>
      </c>
      <c r="I133" s="6" t="str">
        <f>HYPERLINK("https://tpcprs.com/100673/","URLを開く")</f>
        <v>URLを開く</v>
      </c>
      <c r="J133" s="10" t="s">
        <v>23</v>
      </c>
      <c r="K133" s="10" t="s">
        <v>23</v>
      </c>
    </row>
    <row r="134" spans="1:11">
      <c r="A134" s="7" t="s">
        <v>345</v>
      </c>
      <c r="B134" s="7" t="s">
        <v>15</v>
      </c>
      <c r="C134" s="13" t="s">
        <v>364</v>
      </c>
      <c r="D134" s="13" t="s">
        <v>365</v>
      </c>
      <c r="E134" s="5" t="s">
        <v>44</v>
      </c>
      <c r="F134" s="5" t="s">
        <v>93</v>
      </c>
      <c r="G134" s="5" t="s">
        <v>27</v>
      </c>
      <c r="H134" s="5" t="s">
        <v>366</v>
      </c>
      <c r="I134" s="6" t="str">
        <f>HYPERLINK("https://www.huffingtonpost.jp/entry/story_jp_602763f9c5b6d667582cf630","URLを開く")</f>
        <v>URLを開く</v>
      </c>
      <c r="J134" s="10" t="s">
        <v>29</v>
      </c>
      <c r="K134" s="10" t="s">
        <v>23</v>
      </c>
    </row>
    <row r="135" spans="1:11">
      <c r="A135" s="7" t="s">
        <v>345</v>
      </c>
      <c r="B135" s="7" t="s">
        <v>15</v>
      </c>
      <c r="C135" s="13" t="s">
        <v>364</v>
      </c>
      <c r="D135" s="13" t="s">
        <v>365</v>
      </c>
      <c r="E135" s="5" t="s">
        <v>44</v>
      </c>
      <c r="F135" s="5" t="s">
        <v>93</v>
      </c>
      <c r="G135" s="5" t="s">
        <v>27</v>
      </c>
      <c r="H135" s="5" t="s">
        <v>367</v>
      </c>
      <c r="I135" s="6" t="str">
        <f>HYPERLINK("https://www.huffingtonpost.jp/entry/story_jp_602763f9c5b6d667582cf630?utm_hp_ref=jp-sdgs","URLを開く")</f>
        <v>URLを開く</v>
      </c>
      <c r="J135" s="10" t="s">
        <v>23</v>
      </c>
      <c r="K135" s="10" t="s">
        <v>23</v>
      </c>
    </row>
    <row r="136" spans="1:11">
      <c r="A136" s="7" t="s">
        <v>345</v>
      </c>
      <c r="B136" s="7" t="s">
        <v>15</v>
      </c>
      <c r="C136" s="13" t="s">
        <v>364</v>
      </c>
      <c r="D136" s="13" t="s">
        <v>365</v>
      </c>
      <c r="E136" s="5" t="s">
        <v>44</v>
      </c>
      <c r="F136" s="5" t="s">
        <v>93</v>
      </c>
      <c r="G136" s="5" t="s">
        <v>27</v>
      </c>
      <c r="H136" s="5" t="s">
        <v>368</v>
      </c>
      <c r="I136" s="6" t="str">
        <f>HYPERLINK("https://www.huffingtonpost.jp/entry/story_jp_602763f9c5b6d667582cf630?ncid=other_trending_qeesnbnu0l8&amp;utm_campaign=trending","URLを開く")</f>
        <v>URLを開く</v>
      </c>
      <c r="J136" s="10" t="s">
        <v>23</v>
      </c>
      <c r="K136" s="10" t="s">
        <v>23</v>
      </c>
    </row>
    <row r="137" spans="1:11">
      <c r="A137" s="7" t="s">
        <v>345</v>
      </c>
      <c r="B137" s="7" t="s">
        <v>15</v>
      </c>
      <c r="C137" s="13" t="s">
        <v>146</v>
      </c>
      <c r="D137" s="13" t="s">
        <v>147</v>
      </c>
      <c r="E137" s="5" t="s">
        <v>369</v>
      </c>
      <c r="F137" s="5" t="s">
        <v>40</v>
      </c>
      <c r="G137" s="5" t="s">
        <v>33</v>
      </c>
      <c r="H137" s="5" t="s">
        <v>370</v>
      </c>
      <c r="I137" s="6" t="str">
        <f>HYPERLINK("http://topics.smt.docomo.ne.jp/article/huffingtonpost/entertainment/huffingtonpost-602763f9c5b6d667582cf630?fm=latestnews","URLを開く")</f>
        <v>URLを開く</v>
      </c>
      <c r="J137" s="10" t="s">
        <v>23</v>
      </c>
      <c r="K137" s="10" t="s">
        <v>23</v>
      </c>
    </row>
    <row r="138" spans="1:11">
      <c r="A138" s="7" t="s">
        <v>345</v>
      </c>
      <c r="B138" s="7" t="s">
        <v>15</v>
      </c>
      <c r="C138" s="13" t="s">
        <v>371</v>
      </c>
      <c r="D138" s="13" t="s">
        <v>372</v>
      </c>
      <c r="E138" s="5" t="s">
        <v>373</v>
      </c>
      <c r="F138" s="5" t="s">
        <v>58</v>
      </c>
      <c r="G138" s="5" t="s">
        <v>27</v>
      </c>
      <c r="H138" s="5" t="s">
        <v>374</v>
      </c>
      <c r="I138" s="6" t="str">
        <f>HYPERLINK("https://golfsapuri.com/article/10004700","URLを開く")</f>
        <v>URLを開く</v>
      </c>
      <c r="J138" s="10" t="s">
        <v>23</v>
      </c>
      <c r="K138" s="10" t="s">
        <v>23</v>
      </c>
    </row>
    <row r="139" spans="1:11">
      <c r="A139" s="7" t="s">
        <v>345</v>
      </c>
      <c r="B139" s="7" t="s">
        <v>15</v>
      </c>
      <c r="C139" s="13" t="s">
        <v>50</v>
      </c>
      <c r="D139" s="13" t="s">
        <v>51</v>
      </c>
      <c r="E139" s="5" t="s">
        <v>375</v>
      </c>
      <c r="F139" s="5" t="s">
        <v>88</v>
      </c>
      <c r="G139" s="5" t="s">
        <v>33</v>
      </c>
      <c r="H139" s="5" t="s">
        <v>376</v>
      </c>
      <c r="I139" s="6" t="str">
        <f>HYPERLINK("https://news.yahoo.co.jp/articles/5200a57e8782dec5a8be574216c5632efd65b27c","URLを開く")</f>
        <v>URLを開く</v>
      </c>
      <c r="J139" s="10" t="s">
        <v>23</v>
      </c>
      <c r="K139" s="10" t="s">
        <v>23</v>
      </c>
    </row>
    <row r="140" spans="1:11">
      <c r="A140" s="7" t="s">
        <v>345</v>
      </c>
      <c r="B140" s="7" t="s">
        <v>15</v>
      </c>
      <c r="C140" s="13" t="s">
        <v>377</v>
      </c>
      <c r="D140" s="13" t="s">
        <v>143</v>
      </c>
      <c r="E140" s="5" t="s">
        <v>378</v>
      </c>
      <c r="F140" s="5" t="s">
        <v>65</v>
      </c>
      <c r="G140" s="5" t="s">
        <v>33</v>
      </c>
      <c r="H140" s="5" t="s">
        <v>379</v>
      </c>
      <c r="I140" s="6" t="str">
        <f>HYPERLINK("https://gourmet.goo.ne.jp/news/article/145784/","URLを開く")</f>
        <v>URLを開く</v>
      </c>
      <c r="J140" s="10" t="s">
        <v>23</v>
      </c>
      <c r="K140" s="10" t="s">
        <v>23</v>
      </c>
    </row>
    <row r="141" spans="1:11">
      <c r="A141" s="7" t="s">
        <v>345</v>
      </c>
      <c r="B141" s="7" t="s">
        <v>15</v>
      </c>
      <c r="C141" s="13" t="s">
        <v>142</v>
      </c>
      <c r="D141" s="13" t="s">
        <v>143</v>
      </c>
      <c r="E141" s="5" t="s">
        <v>378</v>
      </c>
      <c r="F141" s="5" t="s">
        <v>65</v>
      </c>
      <c r="G141" s="5" t="s">
        <v>33</v>
      </c>
      <c r="H141" s="5" t="s">
        <v>380</v>
      </c>
      <c r="I141" s="6" t="str">
        <f>HYPERLINK("https://news.goo.ne.jp/article/bgmania/trend/bgmania-380733.html","URLを開く")</f>
        <v>URLを開く</v>
      </c>
      <c r="J141" s="10" t="s">
        <v>23</v>
      </c>
      <c r="K141" s="10" t="s">
        <v>23</v>
      </c>
    </row>
    <row r="142" spans="1:11">
      <c r="A142" s="7" t="s">
        <v>345</v>
      </c>
      <c r="B142" s="7" t="s">
        <v>15</v>
      </c>
      <c r="C142" s="13" t="s">
        <v>279</v>
      </c>
      <c r="D142" s="13" t="s">
        <v>43</v>
      </c>
      <c r="E142" s="5" t="s">
        <v>378</v>
      </c>
      <c r="F142" s="5" t="s">
        <v>65</v>
      </c>
      <c r="G142" s="5" t="s">
        <v>33</v>
      </c>
      <c r="H142" s="5" t="s">
        <v>381</v>
      </c>
      <c r="I142" s="6" t="str">
        <f>HYPERLINK("https://news.livedoor.com/article/detail/19689760/","URLを開く")</f>
        <v>URLを開く</v>
      </c>
      <c r="J142" s="10" t="s">
        <v>23</v>
      </c>
      <c r="K142" s="10" t="s">
        <v>23</v>
      </c>
    </row>
    <row r="143" spans="1:11">
      <c r="A143" s="7" t="s">
        <v>345</v>
      </c>
      <c r="B143" s="7" t="s">
        <v>15</v>
      </c>
      <c r="C143" s="13" t="s">
        <v>162</v>
      </c>
      <c r="D143" s="13" t="s">
        <v>163</v>
      </c>
      <c r="E143" s="5" t="s">
        <v>378</v>
      </c>
      <c r="F143" s="5" t="s">
        <v>65</v>
      </c>
      <c r="G143" s="5" t="s">
        <v>33</v>
      </c>
      <c r="H143" s="5" t="s">
        <v>382</v>
      </c>
      <c r="I143" s="6" t="str">
        <f>HYPERLINK("https://gunosy.com/articles/ehsa3","URLを開く")</f>
        <v>URLを開く</v>
      </c>
      <c r="J143" s="10" t="s">
        <v>23</v>
      </c>
      <c r="K143" s="10" t="s">
        <v>23</v>
      </c>
    </row>
    <row r="144" spans="1:11">
      <c r="A144" s="7" t="s">
        <v>345</v>
      </c>
      <c r="B144" s="7" t="s">
        <v>15</v>
      </c>
      <c r="C144" s="13" t="s">
        <v>238</v>
      </c>
      <c r="D144" s="13" t="s">
        <v>239</v>
      </c>
      <c r="E144" s="5" t="s">
        <v>378</v>
      </c>
      <c r="F144" s="5" t="s">
        <v>65</v>
      </c>
      <c r="G144" s="5" t="s">
        <v>33</v>
      </c>
      <c r="H144" s="5" t="s">
        <v>383</v>
      </c>
      <c r="I144" s="6" t="str">
        <f>HYPERLINK("https://news.nicovideo.jp/watch/nw8932953","URLを開く")</f>
        <v>URLを開く</v>
      </c>
      <c r="J144" s="10" t="s">
        <v>23</v>
      </c>
      <c r="K144" s="10" t="s">
        <v>23</v>
      </c>
    </row>
    <row r="145" spans="1:11">
      <c r="A145" s="7" t="s">
        <v>345</v>
      </c>
      <c r="B145" s="7" t="s">
        <v>15</v>
      </c>
      <c r="C145" s="13" t="s">
        <v>384</v>
      </c>
      <c r="D145" s="13" t="s">
        <v>385</v>
      </c>
      <c r="E145" s="5" t="s">
        <v>378</v>
      </c>
      <c r="F145" s="5" t="s">
        <v>65</v>
      </c>
      <c r="G145" s="5" t="s">
        <v>27</v>
      </c>
      <c r="H145" s="5" t="s">
        <v>386</v>
      </c>
      <c r="I145" s="6" t="str">
        <f>HYPERLINK("https://bg-mania.jp/2021/02/13380733.html","URLを開く")</f>
        <v>URLを開く</v>
      </c>
      <c r="J145" s="10" t="s">
        <v>23</v>
      </c>
      <c r="K145" s="10" t="s">
        <v>23</v>
      </c>
    </row>
    <row r="146" spans="1:11">
      <c r="A146" s="7" t="s">
        <v>345</v>
      </c>
      <c r="B146" s="7" t="s">
        <v>15</v>
      </c>
      <c r="C146" s="13" t="s">
        <v>146</v>
      </c>
      <c r="D146" s="13" t="s">
        <v>147</v>
      </c>
      <c r="E146" s="5" t="s">
        <v>387</v>
      </c>
      <c r="F146" s="5" t="s">
        <v>65</v>
      </c>
      <c r="G146" s="5" t="s">
        <v>33</v>
      </c>
      <c r="H146" s="5" t="s">
        <v>388</v>
      </c>
      <c r="I146" s="6" t="str">
        <f>HYPERLINK("http://topics.smt.docomo.ne.jp/article/bgmania/trend/bgmania-380733?fm=latestnews","URLを開く")</f>
        <v>URLを開く</v>
      </c>
      <c r="J146" s="10" t="s">
        <v>23</v>
      </c>
      <c r="K146" s="10" t="s">
        <v>23</v>
      </c>
    </row>
    <row r="147" spans="1:11">
      <c r="A147" s="7" t="s">
        <v>345</v>
      </c>
      <c r="B147" s="7" t="s">
        <v>15</v>
      </c>
      <c r="C147" s="13" t="s">
        <v>389</v>
      </c>
      <c r="D147" s="13" t="s">
        <v>390</v>
      </c>
      <c r="E147" s="5" t="s">
        <v>391</v>
      </c>
      <c r="F147" s="5" t="s">
        <v>20</v>
      </c>
      <c r="G147" s="5" t="s">
        <v>27</v>
      </c>
      <c r="H147" s="5" t="s">
        <v>392</v>
      </c>
      <c r="I147" s="6" t="str">
        <f>HYPERLINK("https://jj-jj.net/fashion/138031/","URLを開く")</f>
        <v>URLを開く</v>
      </c>
      <c r="J147" s="10" t="s">
        <v>23</v>
      </c>
      <c r="K147" s="10" t="s">
        <v>23</v>
      </c>
    </row>
    <row r="148" spans="1:11">
      <c r="A148" s="7" t="s">
        <v>345</v>
      </c>
      <c r="B148" s="7" t="s">
        <v>15</v>
      </c>
      <c r="C148" s="13" t="s">
        <v>393</v>
      </c>
      <c r="D148" s="13" t="s">
        <v>390</v>
      </c>
      <c r="E148" s="5" t="s">
        <v>391</v>
      </c>
      <c r="F148" s="5" t="s">
        <v>88</v>
      </c>
      <c r="G148" s="5" t="s">
        <v>33</v>
      </c>
      <c r="H148" s="5" t="s">
        <v>394</v>
      </c>
      <c r="I148" s="6" t="str">
        <f>HYPERLINK("https://magacol.jp/2021/02/13/423837.html","URLを開く")</f>
        <v>URLを開く</v>
      </c>
      <c r="J148" s="10" t="s">
        <v>23</v>
      </c>
      <c r="K148" s="10" t="s">
        <v>23</v>
      </c>
    </row>
    <row r="149" spans="1:11">
      <c r="A149" s="7" t="s">
        <v>345</v>
      </c>
      <c r="B149" s="7" t="s">
        <v>15</v>
      </c>
      <c r="C149" s="13" t="s">
        <v>395</v>
      </c>
      <c r="D149" s="13" t="s">
        <v>396</v>
      </c>
      <c r="E149" s="5" t="s">
        <v>397</v>
      </c>
      <c r="F149" s="5" t="s">
        <v>93</v>
      </c>
      <c r="G149" s="5" t="s">
        <v>27</v>
      </c>
      <c r="H149" s="5" t="s">
        <v>398</v>
      </c>
      <c r="I149" s="6" t="str">
        <f>HYPERLINK("https://note.com/senobas/n/ne365a9815d18","URLを開く")</f>
        <v>URLを開く</v>
      </c>
      <c r="J149" s="10" t="s">
        <v>23</v>
      </c>
      <c r="K149" s="10" t="s">
        <v>23</v>
      </c>
    </row>
    <row r="150" spans="1:11">
      <c r="A150" s="7" t="s">
        <v>345</v>
      </c>
      <c r="B150" s="7" t="s">
        <v>15</v>
      </c>
      <c r="C150" s="13" t="s">
        <v>399</v>
      </c>
      <c r="D150" s="13" t="s">
        <v>271</v>
      </c>
      <c r="E150" s="5" t="s">
        <v>400</v>
      </c>
      <c r="F150" s="5" t="s">
        <v>88</v>
      </c>
      <c r="G150" s="5" t="s">
        <v>27</v>
      </c>
      <c r="H150" s="5" t="s">
        <v>401</v>
      </c>
      <c r="I150" s="6" t="str">
        <f>HYPERLINK("https://maquia.hpplus.jp/blog/yukina_maquia/57381/","URLを開く")</f>
        <v>URLを開く</v>
      </c>
      <c r="J150" s="10" t="s">
        <v>23</v>
      </c>
      <c r="K150" s="10" t="s">
        <v>23</v>
      </c>
    </row>
    <row r="151" spans="1:11">
      <c r="A151" s="7" t="s">
        <v>345</v>
      </c>
      <c r="B151" s="7" t="s">
        <v>15</v>
      </c>
      <c r="C151" s="13" t="s">
        <v>402</v>
      </c>
      <c r="D151" s="13" t="s">
        <v>271</v>
      </c>
      <c r="E151" s="5" t="s">
        <v>403</v>
      </c>
      <c r="F151" s="5" t="s">
        <v>20</v>
      </c>
      <c r="G151" s="5" t="s">
        <v>27</v>
      </c>
      <c r="H151" s="5" t="s">
        <v>404</v>
      </c>
      <c r="I151" s="6" t="str">
        <f>HYPERLINK("https://www.mensnonno.jp/post/71922/","URLを開く")</f>
        <v>URLを開く</v>
      </c>
      <c r="J151" s="10" t="s">
        <v>23</v>
      </c>
      <c r="K151" s="10" t="s">
        <v>23</v>
      </c>
    </row>
    <row r="152" spans="1:11">
      <c r="A152" s="7" t="s">
        <v>345</v>
      </c>
      <c r="B152" s="7" t="s">
        <v>15</v>
      </c>
      <c r="C152" s="13" t="s">
        <v>55</v>
      </c>
      <c r="D152" s="13" t="s">
        <v>56</v>
      </c>
      <c r="E152" s="5" t="s">
        <v>405</v>
      </c>
      <c r="F152" s="5" t="s">
        <v>93</v>
      </c>
      <c r="G152" s="5" t="s">
        <v>27</v>
      </c>
      <c r="H152" s="5" t="s">
        <v>406</v>
      </c>
      <c r="I152" s="6" t="str">
        <f>HYPERLINK("https://kurashi-no.jp/I0039147","URLを開く")</f>
        <v>URLを開く</v>
      </c>
      <c r="J152" s="10" t="s">
        <v>23</v>
      </c>
      <c r="K152" s="10" t="s">
        <v>23</v>
      </c>
    </row>
    <row r="153" spans="1:11">
      <c r="A153" s="7" t="s">
        <v>345</v>
      </c>
      <c r="B153" s="7" t="s">
        <v>15</v>
      </c>
      <c r="C153" s="13" t="s">
        <v>103</v>
      </c>
      <c r="D153" s="13" t="s">
        <v>104</v>
      </c>
      <c r="E153" s="5" t="s">
        <v>407</v>
      </c>
      <c r="F153" s="5" t="s">
        <v>40</v>
      </c>
      <c r="G153" s="5" t="s">
        <v>33</v>
      </c>
      <c r="H153" s="5" t="s">
        <v>408</v>
      </c>
      <c r="I153" s="6" t="str">
        <f>HYPERLINK("https://www.excite.co.jp/news/article/Prtimes_2021-02-12-59271-58/","URLを開く")</f>
        <v>URLを開く</v>
      </c>
      <c r="J153" s="10" t="s">
        <v>23</v>
      </c>
      <c r="K153" s="10" t="s">
        <v>23</v>
      </c>
    </row>
    <row r="154" spans="1:11">
      <c r="A154" s="7" t="s">
        <v>345</v>
      </c>
      <c r="B154" s="7" t="s">
        <v>15</v>
      </c>
      <c r="C154" s="13" t="s">
        <v>409</v>
      </c>
      <c r="D154" s="13" t="s">
        <v>410</v>
      </c>
      <c r="E154" s="5" t="s">
        <v>411</v>
      </c>
      <c r="F154" s="5" t="s">
        <v>88</v>
      </c>
      <c r="G154" s="5" t="s">
        <v>27</v>
      </c>
      <c r="H154" s="5" t="s">
        <v>412</v>
      </c>
      <c r="I154" s="6" t="str">
        <f>HYPERLINK("https://snkrdunk.com/articles/10220/","URLを開く")</f>
        <v>URLを開く</v>
      </c>
      <c r="J154" s="10" t="s">
        <v>23</v>
      </c>
      <c r="K154" s="10" t="s">
        <v>23</v>
      </c>
    </row>
    <row r="155" spans="1:11">
      <c r="A155" s="7" t="s">
        <v>345</v>
      </c>
      <c r="B155" s="7" t="s">
        <v>15</v>
      </c>
      <c r="C155" s="13" t="s">
        <v>409</v>
      </c>
      <c r="D155" s="13" t="s">
        <v>410</v>
      </c>
      <c r="E155" s="5" t="s">
        <v>413</v>
      </c>
      <c r="F155" s="5" t="s">
        <v>40</v>
      </c>
      <c r="G155" s="5" t="s">
        <v>27</v>
      </c>
      <c r="H155" s="5" t="s">
        <v>414</v>
      </c>
      <c r="I155" s="6" t="str">
        <f>HYPERLINK("https://snkrdunk.com/articles/10219/","URLを開く")</f>
        <v>URLを開く</v>
      </c>
      <c r="J155" s="10" t="s">
        <v>23</v>
      </c>
      <c r="K155" s="10" t="s">
        <v>23</v>
      </c>
    </row>
    <row r="156" spans="1:11">
      <c r="A156" s="7" t="s">
        <v>345</v>
      </c>
      <c r="B156" s="7" t="s">
        <v>15</v>
      </c>
      <c r="C156" s="13" t="s">
        <v>393</v>
      </c>
      <c r="D156" s="13" t="s">
        <v>390</v>
      </c>
      <c r="E156" s="5" t="s">
        <v>415</v>
      </c>
      <c r="F156" s="5" t="s">
        <v>20</v>
      </c>
      <c r="G156" s="5" t="s">
        <v>33</v>
      </c>
      <c r="H156" s="5" t="s">
        <v>416</v>
      </c>
      <c r="I156" s="6" t="str">
        <f>HYPERLINK("https://magacol.jp/2021/02/13/423774.html","URLを開く")</f>
        <v>URLを開く</v>
      </c>
      <c r="J156" s="10" t="s">
        <v>23</v>
      </c>
      <c r="K156" s="10" t="s">
        <v>23</v>
      </c>
    </row>
    <row r="157" spans="1:11">
      <c r="A157" s="7" t="s">
        <v>345</v>
      </c>
      <c r="B157" s="7" t="s">
        <v>15</v>
      </c>
      <c r="C157" s="13" t="s">
        <v>417</v>
      </c>
      <c r="D157" s="13" t="s">
        <v>390</v>
      </c>
      <c r="E157" s="5" t="s">
        <v>415</v>
      </c>
      <c r="F157" s="5" t="s">
        <v>20</v>
      </c>
      <c r="G157" s="5" t="s">
        <v>27</v>
      </c>
      <c r="H157" s="5" t="s">
        <v>418</v>
      </c>
      <c r="I157" s="6" t="str">
        <f>HYPERLINK("https://storyweb.jp/fashion/148303/","URLを開く")</f>
        <v>URLを開く</v>
      </c>
      <c r="J157" s="10" t="s">
        <v>23</v>
      </c>
      <c r="K157" s="10" t="s">
        <v>23</v>
      </c>
    </row>
    <row r="158" spans="1:11">
      <c r="A158" s="7" t="s">
        <v>345</v>
      </c>
      <c r="B158" s="7" t="s">
        <v>15</v>
      </c>
      <c r="C158" s="13" t="s">
        <v>419</v>
      </c>
      <c r="D158" s="13" t="s">
        <v>420</v>
      </c>
      <c r="E158" s="5" t="s">
        <v>421</v>
      </c>
      <c r="F158" s="5" t="s">
        <v>93</v>
      </c>
      <c r="G158" s="5" t="s">
        <v>27</v>
      </c>
      <c r="H158" s="5" t="s">
        <v>422</v>
      </c>
      <c r="I158" s="6" t="str">
        <f>HYPERLINK(" "," ")</f>
        <v xml:space="preserve"> </v>
      </c>
      <c r="J158" s="10" t="s">
        <v>23</v>
      </c>
      <c r="K158" s="10" t="s">
        <v>23</v>
      </c>
    </row>
    <row r="159" spans="1:11">
      <c r="A159" s="7" t="s">
        <v>345</v>
      </c>
      <c r="B159" s="7" t="s">
        <v>15</v>
      </c>
      <c r="C159" s="13" t="s">
        <v>419</v>
      </c>
      <c r="D159" s="13" t="s">
        <v>420</v>
      </c>
      <c r="E159" s="5" t="s">
        <v>421</v>
      </c>
      <c r="F159" s="5" t="s">
        <v>93</v>
      </c>
      <c r="G159" s="5" t="s">
        <v>27</v>
      </c>
      <c r="H159" s="5" t="s">
        <v>423</v>
      </c>
      <c r="I159" s="6" t="str">
        <f>HYPERLINK(" "," ")</f>
        <v xml:space="preserve"> </v>
      </c>
      <c r="J159" s="10" t="s">
        <v>23</v>
      </c>
      <c r="K159" s="10" t="s">
        <v>23</v>
      </c>
    </row>
    <row r="160" spans="1:11">
      <c r="A160" s="7" t="s">
        <v>345</v>
      </c>
      <c r="B160" s="7" t="s">
        <v>15</v>
      </c>
      <c r="C160" s="13" t="s">
        <v>419</v>
      </c>
      <c r="D160" s="13" t="s">
        <v>420</v>
      </c>
      <c r="E160" s="5" t="s">
        <v>421</v>
      </c>
      <c r="F160" s="5" t="s">
        <v>93</v>
      </c>
      <c r="G160" s="5" t="s">
        <v>27</v>
      </c>
      <c r="H160" s="5" t="s">
        <v>424</v>
      </c>
      <c r="I160" s="6" t="str">
        <f>HYPERLINK(" "," ")</f>
        <v xml:space="preserve"> </v>
      </c>
      <c r="J160" s="10" t="s">
        <v>23</v>
      </c>
      <c r="K160" s="10" t="s">
        <v>23</v>
      </c>
    </row>
    <row r="161" spans="1:11">
      <c r="A161" s="7" t="s">
        <v>345</v>
      </c>
      <c r="B161" s="7" t="s">
        <v>15</v>
      </c>
      <c r="C161" s="13" t="s">
        <v>42</v>
      </c>
      <c r="D161" s="13" t="s">
        <v>43</v>
      </c>
      <c r="E161" s="5" t="s">
        <v>425</v>
      </c>
      <c r="F161" s="5" t="s">
        <v>65</v>
      </c>
      <c r="G161" s="5" t="s">
        <v>33</v>
      </c>
      <c r="H161" s="5" t="s">
        <v>426</v>
      </c>
      <c r="I161" s="6" t="str">
        <f>HYPERLINK("https://news.line.me/articles/oa-rp31535/725f92926d38","URLを開く")</f>
        <v>URLを開く</v>
      </c>
      <c r="J161" s="10" t="s">
        <v>23</v>
      </c>
      <c r="K161" s="10" t="s">
        <v>23</v>
      </c>
    </row>
    <row r="162" spans="1:11">
      <c r="A162" s="7" t="s">
        <v>345</v>
      </c>
      <c r="B162" s="7" t="s">
        <v>15</v>
      </c>
      <c r="C162" s="13" t="s">
        <v>427</v>
      </c>
      <c r="D162" s="13" t="s">
        <v>428</v>
      </c>
      <c r="E162" s="5" t="s">
        <v>429</v>
      </c>
      <c r="F162" s="5" t="s">
        <v>188</v>
      </c>
      <c r="G162" s="5" t="s">
        <v>27</v>
      </c>
      <c r="H162" s="5" t="s">
        <v>430</v>
      </c>
      <c r="I162" s="6" t="str">
        <f>HYPERLINK("https://hypebeast.com/jp/2021/2/awake-ny-shaniqwa-jarvis-collaboration-tee-shirt-tote-bag","URLを開く")</f>
        <v>URLを開く</v>
      </c>
      <c r="J162" s="10" t="s">
        <v>23</v>
      </c>
      <c r="K162" s="10" t="s">
        <v>23</v>
      </c>
    </row>
    <row r="163" spans="1:11">
      <c r="A163" s="7" t="s">
        <v>345</v>
      </c>
      <c r="B163" s="7" t="s">
        <v>15</v>
      </c>
      <c r="C163" s="13" t="s">
        <v>42</v>
      </c>
      <c r="D163" s="13" t="s">
        <v>43</v>
      </c>
      <c r="E163" s="5" t="s">
        <v>429</v>
      </c>
      <c r="F163" s="5" t="s">
        <v>188</v>
      </c>
      <c r="G163" s="5" t="s">
        <v>33</v>
      </c>
      <c r="H163" s="5" t="s">
        <v>431</v>
      </c>
      <c r="I163" s="6" t="str">
        <f>HYPERLINK("https://news.line.me/articles/oa-rp96641/76029d4d2a09","URLを開く")</f>
        <v>URLを開く</v>
      </c>
      <c r="J163" s="10" t="s">
        <v>23</v>
      </c>
      <c r="K163" s="10" t="s">
        <v>23</v>
      </c>
    </row>
    <row r="164" spans="1:11">
      <c r="A164" s="7" t="s">
        <v>345</v>
      </c>
      <c r="B164" s="7" t="s">
        <v>15</v>
      </c>
      <c r="C164" s="13" t="s">
        <v>75</v>
      </c>
      <c r="D164" s="13" t="s">
        <v>76</v>
      </c>
      <c r="E164" s="5" t="s">
        <v>432</v>
      </c>
      <c r="F164" s="5" t="s">
        <v>65</v>
      </c>
      <c r="G164" s="5" t="s">
        <v>27</v>
      </c>
      <c r="H164" s="5" t="s">
        <v>433</v>
      </c>
      <c r="I164" s="6" t="str">
        <f>HYPERLINK("https://corriente.top/facebook-smartwatch-2022/","URLを開く")</f>
        <v>URLを開く</v>
      </c>
      <c r="J164" s="10" t="s">
        <v>23</v>
      </c>
      <c r="K164" s="10" t="s">
        <v>23</v>
      </c>
    </row>
    <row r="165" spans="1:11">
      <c r="A165" s="7" t="s">
        <v>345</v>
      </c>
      <c r="B165" s="7" t="s">
        <v>15</v>
      </c>
      <c r="C165" s="13" t="s">
        <v>434</v>
      </c>
      <c r="D165" s="13" t="s">
        <v>435</v>
      </c>
      <c r="E165" s="5" t="s">
        <v>436</v>
      </c>
      <c r="F165" s="5" t="s">
        <v>88</v>
      </c>
      <c r="G165" s="5" t="s">
        <v>27</v>
      </c>
      <c r="H165" s="5" t="s">
        <v>437</v>
      </c>
      <c r="I165" s="6" t="str">
        <f>HYPERLINK("https://droptokyo.com/freshsnaps/ID/?id=285447","URLを開く")</f>
        <v>URLを開く</v>
      </c>
      <c r="J165" s="10" t="s">
        <v>23</v>
      </c>
      <c r="K165" s="10" t="s">
        <v>23</v>
      </c>
    </row>
    <row r="166" spans="1:11">
      <c r="A166" s="7" t="s">
        <v>345</v>
      </c>
      <c r="B166" s="7" t="s">
        <v>15</v>
      </c>
      <c r="C166" s="13" t="s">
        <v>438</v>
      </c>
      <c r="D166" s="13" t="s">
        <v>439</v>
      </c>
      <c r="E166" s="5" t="s">
        <v>440</v>
      </c>
      <c r="F166" s="5" t="s">
        <v>65</v>
      </c>
      <c r="G166" s="5" t="s">
        <v>21</v>
      </c>
      <c r="H166" s="5" t="s">
        <v>441</v>
      </c>
      <c r="I166" s="6" t="str">
        <f>HYPERLINK("https://www.businesswire.com/news/home/20210212005420/en/InVision-Adds-2M-Users-and-Sets-the-Foundation-for-Expansive-Growth-as-Digital-Collaboration-Becomes-an-Enterprise-Requirement","URLを開く")</f>
        <v>URLを開く</v>
      </c>
      <c r="J166" s="10" t="s">
        <v>23</v>
      </c>
      <c r="K166" s="10" t="s">
        <v>23</v>
      </c>
    </row>
    <row r="167" spans="1:11">
      <c r="A167" s="7" t="s">
        <v>345</v>
      </c>
      <c r="B167" s="7" t="s">
        <v>15</v>
      </c>
      <c r="C167" s="13" t="s">
        <v>79</v>
      </c>
      <c r="D167" s="13" t="s">
        <v>80</v>
      </c>
      <c r="E167" s="5" t="s">
        <v>442</v>
      </c>
      <c r="F167" s="5" t="s">
        <v>65</v>
      </c>
      <c r="G167" s="5" t="s">
        <v>27</v>
      </c>
      <c r="H167" s="5" t="s">
        <v>443</v>
      </c>
      <c r="I167" s="6" t="str">
        <f>HYPERLINK("https://this.kiji.is/733097099575525376","URLを開く")</f>
        <v>URLを開く</v>
      </c>
      <c r="J167" s="10" t="s">
        <v>23</v>
      </c>
      <c r="K167" s="10" t="s">
        <v>23</v>
      </c>
    </row>
    <row r="168" spans="1:11">
      <c r="A168" s="7" t="s">
        <v>345</v>
      </c>
      <c r="B168" s="7" t="s">
        <v>15</v>
      </c>
      <c r="C168" s="13" t="s">
        <v>444</v>
      </c>
      <c r="D168" s="13" t="s">
        <v>176</v>
      </c>
      <c r="E168" s="5" t="s">
        <v>445</v>
      </c>
      <c r="F168" s="5" t="s">
        <v>93</v>
      </c>
      <c r="G168" s="5" t="s">
        <v>27</v>
      </c>
      <c r="H168" s="5" t="s">
        <v>446</v>
      </c>
      <c r="I168" s="6" t="str">
        <f>HYPERLINK("https://basketballking.jp/news/world/nba/20210212/307870.html?cx_news=page3","URLを開く")</f>
        <v>URLを開く</v>
      </c>
      <c r="J168" s="10" t="s">
        <v>23</v>
      </c>
      <c r="K168" s="10" t="s">
        <v>23</v>
      </c>
    </row>
    <row r="169" spans="1:11">
      <c r="A169" s="7" t="s">
        <v>345</v>
      </c>
      <c r="B169" s="7" t="s">
        <v>15</v>
      </c>
      <c r="C169" s="13" t="s">
        <v>444</v>
      </c>
      <c r="D169" s="13" t="s">
        <v>176</v>
      </c>
      <c r="E169" s="5" t="s">
        <v>445</v>
      </c>
      <c r="F169" s="5" t="s">
        <v>93</v>
      </c>
      <c r="G169" s="5" t="s">
        <v>27</v>
      </c>
      <c r="H169" s="5" t="s">
        <v>447</v>
      </c>
      <c r="I169" s="6" t="str">
        <f>HYPERLINK("https://basketballking.jp/news/world/nba/20210212/307870.html?cx_news=rankingall","URLを開く")</f>
        <v>URLを開く</v>
      </c>
      <c r="J169" s="10" t="s">
        <v>23</v>
      </c>
      <c r="K169" s="10" t="s">
        <v>23</v>
      </c>
    </row>
    <row r="170" spans="1:11">
      <c r="A170" s="7" t="s">
        <v>345</v>
      </c>
      <c r="B170" s="7" t="s">
        <v>15</v>
      </c>
      <c r="C170" s="13" t="s">
        <v>444</v>
      </c>
      <c r="D170" s="13" t="s">
        <v>176</v>
      </c>
      <c r="E170" s="5" t="s">
        <v>445</v>
      </c>
      <c r="F170" s="5" t="s">
        <v>93</v>
      </c>
      <c r="G170" s="5" t="s">
        <v>27</v>
      </c>
      <c r="H170" s="5" t="s">
        <v>448</v>
      </c>
      <c r="I170" s="6" t="str">
        <f>HYPERLINK("https://basketballking.jp/news/world/nba/20210212/307870.html?cx_top=rankingall","URLを開く")</f>
        <v>URLを開く</v>
      </c>
      <c r="J170" s="10" t="s">
        <v>23</v>
      </c>
      <c r="K170" s="10" t="s">
        <v>23</v>
      </c>
    </row>
    <row r="171" spans="1:11">
      <c r="A171" s="7" t="s">
        <v>345</v>
      </c>
      <c r="B171" s="7" t="s">
        <v>15</v>
      </c>
      <c r="C171" s="13" t="s">
        <v>449</v>
      </c>
      <c r="D171" s="13" t="s">
        <v>450</v>
      </c>
      <c r="E171" s="5" t="s">
        <v>451</v>
      </c>
      <c r="F171" s="5" t="s">
        <v>88</v>
      </c>
      <c r="G171" s="5" t="s">
        <v>27</v>
      </c>
      <c r="H171" s="5" t="s">
        <v>452</v>
      </c>
      <c r="I171" s="6" t="str">
        <f>HYPERLINK("https://eyescream.jp/fashion/86057/","URLを開く")</f>
        <v>URLを開く</v>
      </c>
      <c r="J171" s="10" t="s">
        <v>23</v>
      </c>
      <c r="K171" s="10" t="s">
        <v>23</v>
      </c>
    </row>
    <row r="172" spans="1:11">
      <c r="A172" s="7" t="s">
        <v>345</v>
      </c>
      <c r="B172" s="7" t="s">
        <v>15</v>
      </c>
      <c r="C172" s="13" t="s">
        <v>304</v>
      </c>
      <c r="D172" s="13" t="s">
        <v>271</v>
      </c>
      <c r="E172" s="5" t="s">
        <v>453</v>
      </c>
      <c r="F172" s="5" t="s">
        <v>65</v>
      </c>
      <c r="G172" s="5" t="s">
        <v>33</v>
      </c>
      <c r="H172" s="5" t="s">
        <v>454</v>
      </c>
      <c r="I172" s="6" t="str">
        <f>HYPERLINK("https://one.hpplus.jp/marisol/132521","URLを開く")</f>
        <v>URLを開く</v>
      </c>
      <c r="J172" s="10" t="s">
        <v>23</v>
      </c>
      <c r="K172" s="10" t="s">
        <v>23</v>
      </c>
    </row>
    <row r="173" spans="1:11">
      <c r="A173" s="7" t="s">
        <v>345</v>
      </c>
      <c r="B173" s="7" t="s">
        <v>15</v>
      </c>
      <c r="C173" s="13" t="s">
        <v>455</v>
      </c>
      <c r="D173" s="13" t="s">
        <v>271</v>
      </c>
      <c r="E173" s="5" t="s">
        <v>456</v>
      </c>
      <c r="F173" s="5" t="s">
        <v>65</v>
      </c>
      <c r="G173" s="5" t="s">
        <v>27</v>
      </c>
      <c r="H173" s="5" t="s">
        <v>457</v>
      </c>
      <c r="I173" s="6" t="str">
        <f>HYPERLINK("https://marisol.hpplus.jp/article/65851","URLを開く")</f>
        <v>URLを開く</v>
      </c>
      <c r="J173" s="10" t="s">
        <v>23</v>
      </c>
      <c r="K173" s="10" t="s">
        <v>23</v>
      </c>
    </row>
    <row r="174" spans="1:11">
      <c r="A174" s="7" t="s">
        <v>345</v>
      </c>
      <c r="B174" s="7" t="s">
        <v>15</v>
      </c>
      <c r="C174" s="13" t="s">
        <v>458</v>
      </c>
      <c r="D174" s="13" t="s">
        <v>459</v>
      </c>
      <c r="E174" s="5" t="s">
        <v>460</v>
      </c>
      <c r="F174" s="5" t="s">
        <v>20</v>
      </c>
      <c r="G174" s="5" t="s">
        <v>27</v>
      </c>
      <c r="H174" s="5" t="s">
        <v>461</v>
      </c>
      <c r="I174" s="6" t="str">
        <f>HYPERLINK("https://www.nikkei.com/article/DGXZQOGN00001_T10C21A2000000/","URLを開く")</f>
        <v>URLを開く</v>
      </c>
      <c r="J174" s="10" t="s">
        <v>23</v>
      </c>
      <c r="K174" s="10" t="s">
        <v>23</v>
      </c>
    </row>
    <row r="175" spans="1:11">
      <c r="A175" s="7" t="s">
        <v>345</v>
      </c>
      <c r="B175" s="7" t="s">
        <v>15</v>
      </c>
      <c r="C175" s="13" t="s">
        <v>462</v>
      </c>
      <c r="D175" s="13" t="s">
        <v>462</v>
      </c>
      <c r="E175" s="5" t="s">
        <v>463</v>
      </c>
      <c r="F175" s="5" t="s">
        <v>20</v>
      </c>
      <c r="G175" s="5" t="s">
        <v>33</v>
      </c>
      <c r="H175" s="5" t="s">
        <v>464</v>
      </c>
      <c r="I175" s="6" t="str">
        <f>HYPERLINK("https://finance.yahoo.co.jp/news/detail/20210213-10000004-dzh-market","URLを開く")</f>
        <v>URLを開く</v>
      </c>
      <c r="J175" s="10" t="s">
        <v>23</v>
      </c>
      <c r="K175" s="10" t="s">
        <v>23</v>
      </c>
    </row>
    <row r="176" spans="1:11">
      <c r="A176" s="7" t="s">
        <v>345</v>
      </c>
      <c r="B176" s="7" t="s">
        <v>15</v>
      </c>
      <c r="C176" s="13" t="s">
        <v>465</v>
      </c>
      <c r="D176" s="13" t="s">
        <v>466</v>
      </c>
      <c r="E176" s="5" t="s">
        <v>463</v>
      </c>
      <c r="F176" s="5" t="s">
        <v>20</v>
      </c>
      <c r="G176" s="5" t="s">
        <v>27</v>
      </c>
      <c r="H176" s="5" t="s">
        <v>467</v>
      </c>
      <c r="I176" s="6" t="str">
        <f>HYPERLINK("https://www.traders.co.jp/news/news_top.asp?page=1&amp;newscode=1611621&amp;type=1&amp;filter=ALL&amp;n=#news_top","URLを開く")</f>
        <v>URLを開く</v>
      </c>
      <c r="J176" s="10" t="s">
        <v>23</v>
      </c>
      <c r="K176" s="10" t="s">
        <v>23</v>
      </c>
    </row>
    <row r="177" spans="1:11">
      <c r="A177" s="7" t="s">
        <v>345</v>
      </c>
      <c r="B177" s="7" t="s">
        <v>15</v>
      </c>
      <c r="C177" s="13" t="s">
        <v>462</v>
      </c>
      <c r="D177" s="13" t="s">
        <v>462</v>
      </c>
      <c r="E177" s="5" t="s">
        <v>468</v>
      </c>
      <c r="F177" s="5" t="s">
        <v>20</v>
      </c>
      <c r="G177" s="5" t="s">
        <v>33</v>
      </c>
      <c r="H177" s="5" t="s">
        <v>469</v>
      </c>
      <c r="I177" s="6" t="str">
        <f>HYPERLINK("https://finance.yahoo.co.jp/news/detail/20210213-10000010-dzh-market","URLを開く")</f>
        <v>URLを開く</v>
      </c>
      <c r="J177" s="10" t="s">
        <v>23</v>
      </c>
      <c r="K177" s="10" t="s">
        <v>23</v>
      </c>
    </row>
    <row r="178" spans="1:11">
      <c r="A178" s="7" t="s">
        <v>345</v>
      </c>
      <c r="B178" s="7" t="s">
        <v>15</v>
      </c>
      <c r="C178" s="13" t="s">
        <v>50</v>
      </c>
      <c r="D178" s="13" t="s">
        <v>51</v>
      </c>
      <c r="E178" s="5" t="s">
        <v>470</v>
      </c>
      <c r="F178" s="5" t="s">
        <v>40</v>
      </c>
      <c r="G178" s="5" t="s">
        <v>33</v>
      </c>
      <c r="H178" s="5" t="s">
        <v>471</v>
      </c>
      <c r="I178" s="6" t="str">
        <f>HYPERLINK("https://news.yahoo.co.jp/articles/eb049103452fd8f92df4b5a670af762870023803","URLを開く")</f>
        <v>URLを開く</v>
      </c>
      <c r="J178" s="10" t="s">
        <v>23</v>
      </c>
      <c r="K178" s="10" t="s">
        <v>23</v>
      </c>
    </row>
    <row r="179" spans="1:11">
      <c r="A179" s="7" t="s">
        <v>345</v>
      </c>
      <c r="B179" s="7" t="s">
        <v>15</v>
      </c>
      <c r="C179" s="13" t="s">
        <v>472</v>
      </c>
      <c r="D179" s="13" t="s">
        <v>473</v>
      </c>
      <c r="E179" s="5" t="s">
        <v>474</v>
      </c>
      <c r="F179" s="5" t="s">
        <v>65</v>
      </c>
      <c r="G179" s="5" t="s">
        <v>33</v>
      </c>
      <c r="H179" s="5" t="s">
        <v>475</v>
      </c>
      <c r="I179" s="6" t="str">
        <f>HYPERLINK("https://ceron.jp/url/www.vogue.co.jp/fashion/article/nike-go-flyease","URLを開く")</f>
        <v>URLを開く</v>
      </c>
      <c r="J179" s="10" t="s">
        <v>23</v>
      </c>
      <c r="K179" s="10" t="s">
        <v>23</v>
      </c>
    </row>
    <row r="180" spans="1:11">
      <c r="A180" s="7" t="s">
        <v>345</v>
      </c>
      <c r="B180" s="7" t="s">
        <v>15</v>
      </c>
      <c r="C180" s="13" t="s">
        <v>83</v>
      </c>
      <c r="D180" s="13" t="s">
        <v>84</v>
      </c>
      <c r="E180" s="5" t="s">
        <v>476</v>
      </c>
      <c r="F180" s="5" t="s">
        <v>88</v>
      </c>
      <c r="G180" s="5" t="s">
        <v>27</v>
      </c>
      <c r="H180" s="5" t="s">
        <v>477</v>
      </c>
      <c r="I180" s="6" t="str">
        <f>HYPERLINK("https://fnmnl.tv/2021/02/13/118223","URLを開く")</f>
        <v>URLを開く</v>
      </c>
      <c r="J180" s="10" t="s">
        <v>23</v>
      </c>
      <c r="K180" s="10" t="s">
        <v>23</v>
      </c>
    </row>
    <row r="181" spans="1:11">
      <c r="A181" s="7" t="s">
        <v>345</v>
      </c>
      <c r="B181" s="7" t="s">
        <v>15</v>
      </c>
      <c r="C181" s="13" t="s">
        <v>478</v>
      </c>
      <c r="D181" s="13" t="s">
        <v>479</v>
      </c>
      <c r="E181" s="5" t="s">
        <v>480</v>
      </c>
      <c r="F181" s="5" t="s">
        <v>93</v>
      </c>
      <c r="G181" s="5" t="s">
        <v>27</v>
      </c>
      <c r="H181" s="5" t="s">
        <v>481</v>
      </c>
      <c r="I181" s="6" t="str">
        <f>HYPERLINK("https://www.womenshealthmag.com/jp/fashion/g35457558/active-spring-sneakers-20210213/","URLを開く")</f>
        <v>URLを開く</v>
      </c>
      <c r="J181" s="10" t="s">
        <v>23</v>
      </c>
      <c r="K181" s="10" t="s">
        <v>23</v>
      </c>
    </row>
    <row r="182" spans="1:11">
      <c r="A182" s="7" t="s">
        <v>345</v>
      </c>
      <c r="B182" s="7" t="s">
        <v>15</v>
      </c>
      <c r="C182" s="13" t="s">
        <v>255</v>
      </c>
      <c r="D182" s="13" t="s">
        <v>256</v>
      </c>
      <c r="E182" s="5" t="s">
        <v>482</v>
      </c>
      <c r="F182" s="5" t="s">
        <v>40</v>
      </c>
      <c r="G182" s="5" t="s">
        <v>33</v>
      </c>
      <c r="H182" s="5" t="s">
        <v>483</v>
      </c>
      <c r="I182" s="6" t="str">
        <f>HYPERLINK("https://www.zaikei.co.jp/article/20210213/607847.html","URLを開く")</f>
        <v>URLを開く</v>
      </c>
      <c r="J182" s="10" t="s">
        <v>23</v>
      </c>
      <c r="K182" s="10" t="s">
        <v>23</v>
      </c>
    </row>
    <row r="183" spans="1:11">
      <c r="A183" s="7" t="s">
        <v>345</v>
      </c>
      <c r="B183" s="7" t="s">
        <v>15</v>
      </c>
      <c r="C183" s="13" t="s">
        <v>42</v>
      </c>
      <c r="D183" s="13" t="s">
        <v>43</v>
      </c>
      <c r="E183" s="5" t="s">
        <v>484</v>
      </c>
      <c r="F183" s="5" t="s">
        <v>40</v>
      </c>
      <c r="G183" s="5" t="s">
        <v>33</v>
      </c>
      <c r="H183" s="5" t="s">
        <v>485</v>
      </c>
      <c r="I183" s="6" t="str">
        <f>HYPERLINK("https://news.line.me/articles/oa-rp62097/1ff2cbc2c8bc","URLを開く")</f>
        <v>URLを開く</v>
      </c>
      <c r="J183" s="10" t="s">
        <v>23</v>
      </c>
      <c r="K183" s="10" t="s">
        <v>23</v>
      </c>
    </row>
    <row r="184" spans="1:11">
      <c r="A184" s="7" t="s">
        <v>345</v>
      </c>
      <c r="B184" s="7" t="s">
        <v>15</v>
      </c>
      <c r="C184" s="13" t="s">
        <v>279</v>
      </c>
      <c r="D184" s="13" t="s">
        <v>43</v>
      </c>
      <c r="E184" s="5" t="s">
        <v>484</v>
      </c>
      <c r="F184" s="5" t="s">
        <v>40</v>
      </c>
      <c r="G184" s="5" t="s">
        <v>33</v>
      </c>
      <c r="H184" s="5" t="s">
        <v>486</v>
      </c>
      <c r="I184" s="6" t="str">
        <f>HYPERLINK("https://news.livedoor.com/article/detail/19690409/","URLを開く")</f>
        <v>URLを開く</v>
      </c>
      <c r="J184" s="10" t="s">
        <v>23</v>
      </c>
      <c r="K184" s="10" t="s">
        <v>23</v>
      </c>
    </row>
    <row r="185" spans="1:11">
      <c r="A185" s="7" t="s">
        <v>345</v>
      </c>
      <c r="B185" s="7" t="s">
        <v>15</v>
      </c>
      <c r="C185" s="13" t="s">
        <v>162</v>
      </c>
      <c r="D185" s="13" t="s">
        <v>163</v>
      </c>
      <c r="E185" s="5" t="s">
        <v>484</v>
      </c>
      <c r="F185" s="5" t="s">
        <v>40</v>
      </c>
      <c r="G185" s="5" t="s">
        <v>33</v>
      </c>
      <c r="H185" s="5" t="s">
        <v>487</v>
      </c>
      <c r="I185" s="6" t="str">
        <f>HYPERLINK("https://gunosy.com/articles/enjut","URLを開く")</f>
        <v>URLを開く</v>
      </c>
      <c r="J185" s="10" t="s">
        <v>23</v>
      </c>
      <c r="K185" s="10" t="s">
        <v>23</v>
      </c>
    </row>
    <row r="186" spans="1:11">
      <c r="A186" s="7" t="s">
        <v>345</v>
      </c>
      <c r="B186" s="7" t="s">
        <v>15</v>
      </c>
      <c r="C186" s="13" t="s">
        <v>282</v>
      </c>
      <c r="D186" s="13" t="s">
        <v>283</v>
      </c>
      <c r="E186" s="5" t="s">
        <v>488</v>
      </c>
      <c r="F186" s="5" t="s">
        <v>40</v>
      </c>
      <c r="G186" s="5" t="s">
        <v>33</v>
      </c>
      <c r="H186" s="5" t="s">
        <v>489</v>
      </c>
      <c r="I186" s="6" t="str">
        <f>HYPERLINK("https://sportsbull.jp/p/949158/","URLを開く")</f>
        <v>URLを開く</v>
      </c>
      <c r="J186" s="10" t="s">
        <v>23</v>
      </c>
      <c r="K186" s="10" t="s">
        <v>23</v>
      </c>
    </row>
    <row r="187" spans="1:11">
      <c r="A187" s="7" t="s">
        <v>345</v>
      </c>
      <c r="B187" s="7" t="s">
        <v>15</v>
      </c>
      <c r="C187" s="13" t="s">
        <v>50</v>
      </c>
      <c r="D187" s="13" t="s">
        <v>51</v>
      </c>
      <c r="E187" s="5" t="s">
        <v>490</v>
      </c>
      <c r="F187" s="5" t="s">
        <v>88</v>
      </c>
      <c r="G187" s="5" t="s">
        <v>33</v>
      </c>
      <c r="H187" s="5" t="s">
        <v>491</v>
      </c>
      <c r="I187" s="6" t="str">
        <f>HYPERLINK("https://news.yahoo.co.jp/articles/6ee79fbdc00d14fd092c678d35c81e98bbdf9fbf","URLを開く")</f>
        <v>URLを開く</v>
      </c>
      <c r="J187" s="10" t="s">
        <v>23</v>
      </c>
      <c r="K187" s="10" t="s">
        <v>23</v>
      </c>
    </row>
    <row r="188" spans="1:11">
      <c r="A188" s="7" t="s">
        <v>345</v>
      </c>
      <c r="B188" s="7" t="s">
        <v>15</v>
      </c>
      <c r="C188" s="13" t="s">
        <v>449</v>
      </c>
      <c r="D188" s="13" t="s">
        <v>450</v>
      </c>
      <c r="E188" s="5" t="s">
        <v>492</v>
      </c>
      <c r="F188" s="5" t="s">
        <v>65</v>
      </c>
      <c r="G188" s="5" t="s">
        <v>27</v>
      </c>
      <c r="H188" s="5" t="s">
        <v>493</v>
      </c>
      <c r="I188" s="6" t="str">
        <f>HYPERLINK("https://eyescream.jp/fashion/85991/","URLを開く")</f>
        <v>URLを開く</v>
      </c>
      <c r="J188" s="10" t="s">
        <v>23</v>
      </c>
      <c r="K188" s="10" t="s">
        <v>23</v>
      </c>
    </row>
    <row r="189" spans="1:11">
      <c r="A189" s="7" t="s">
        <v>345</v>
      </c>
      <c r="B189" s="7" t="s">
        <v>15</v>
      </c>
      <c r="C189" s="13" t="s">
        <v>42</v>
      </c>
      <c r="D189" s="13" t="s">
        <v>43</v>
      </c>
      <c r="E189" s="5" t="s">
        <v>494</v>
      </c>
      <c r="F189" s="5" t="s">
        <v>40</v>
      </c>
      <c r="G189" s="5" t="s">
        <v>33</v>
      </c>
      <c r="H189" s="5" t="s">
        <v>495</v>
      </c>
      <c r="I189" s="6" t="str">
        <f>HYPERLINK("https://news.line.me/issue/oa-HOUYHNHNM/ayfr52be748g","URLを開く")</f>
        <v>URLを開く</v>
      </c>
      <c r="J189" s="10" t="s">
        <v>23</v>
      </c>
      <c r="K189" s="10" t="s">
        <v>23</v>
      </c>
    </row>
    <row r="190" spans="1:11">
      <c r="A190" s="7" t="s">
        <v>345</v>
      </c>
      <c r="B190" s="7" t="s">
        <v>15</v>
      </c>
      <c r="C190" s="13" t="s">
        <v>496</v>
      </c>
      <c r="D190" s="13" t="s">
        <v>497</v>
      </c>
      <c r="E190" s="5" t="s">
        <v>498</v>
      </c>
      <c r="F190" s="5" t="s">
        <v>40</v>
      </c>
      <c r="G190" s="5" t="s">
        <v>27</v>
      </c>
      <c r="H190" s="5" t="s">
        <v>499</v>
      </c>
      <c r="I190" s="6" t="str">
        <f>HYPERLINK("https://www.houyhnhnm.jp/news/436363/","URLを開く")</f>
        <v>URLを開く</v>
      </c>
      <c r="J190" s="10" t="s">
        <v>23</v>
      </c>
      <c r="K190" s="10" t="s">
        <v>23</v>
      </c>
    </row>
    <row r="191" spans="1:11">
      <c r="A191" s="7" t="s">
        <v>345</v>
      </c>
      <c r="B191" s="7" t="s">
        <v>15</v>
      </c>
      <c r="C191" s="13" t="s">
        <v>304</v>
      </c>
      <c r="D191" s="13" t="s">
        <v>271</v>
      </c>
      <c r="E191" s="5" t="s">
        <v>500</v>
      </c>
      <c r="F191" s="5" t="s">
        <v>40</v>
      </c>
      <c r="G191" s="5" t="s">
        <v>33</v>
      </c>
      <c r="H191" s="5" t="s">
        <v>501</v>
      </c>
      <c r="I191" s="6" t="str">
        <f>HYPERLINK("https://one.hpplus.jp/maquia/132561","URLを開く")</f>
        <v>URLを開く</v>
      </c>
      <c r="J191" s="10" t="s">
        <v>23</v>
      </c>
      <c r="K191" s="10" t="s">
        <v>23</v>
      </c>
    </row>
    <row r="192" spans="1:11">
      <c r="A192" s="7" t="s">
        <v>345</v>
      </c>
      <c r="B192" s="7" t="s">
        <v>15</v>
      </c>
      <c r="C192" s="13" t="s">
        <v>399</v>
      </c>
      <c r="D192" s="13" t="s">
        <v>271</v>
      </c>
      <c r="E192" s="5" t="s">
        <v>500</v>
      </c>
      <c r="F192" s="5" t="s">
        <v>40</v>
      </c>
      <c r="G192" s="5" t="s">
        <v>27</v>
      </c>
      <c r="H192" s="5" t="s">
        <v>502</v>
      </c>
      <c r="I192" s="6" t="str">
        <f>HYPERLINK("https://maquia.hpplus.jp/life/news/57227/","URLを開く")</f>
        <v>URLを開く</v>
      </c>
      <c r="J192" s="10" t="s">
        <v>23</v>
      </c>
      <c r="K192" s="10" t="s">
        <v>23</v>
      </c>
    </row>
    <row r="193" spans="1:11">
      <c r="A193" s="7" t="s">
        <v>345</v>
      </c>
      <c r="B193" s="7" t="s">
        <v>15</v>
      </c>
      <c r="C193" s="13" t="s">
        <v>162</v>
      </c>
      <c r="D193" s="13" t="s">
        <v>163</v>
      </c>
      <c r="E193" s="5" t="s">
        <v>503</v>
      </c>
      <c r="F193" s="5" t="s">
        <v>40</v>
      </c>
      <c r="G193" s="5" t="s">
        <v>33</v>
      </c>
      <c r="H193" s="5" t="s">
        <v>504</v>
      </c>
      <c r="I193" s="6" t="str">
        <f>HYPERLINK("https://gunosy.com/articles/eehBw","URLを開く")</f>
        <v>URLを開く</v>
      </c>
      <c r="J193" s="10" t="s">
        <v>23</v>
      </c>
      <c r="K193" s="10" t="s">
        <v>23</v>
      </c>
    </row>
    <row r="194" spans="1:11">
      <c r="A194" s="7" t="s">
        <v>345</v>
      </c>
      <c r="B194" s="7" t="s">
        <v>15</v>
      </c>
      <c r="C194" s="13" t="s">
        <v>103</v>
      </c>
      <c r="D194" s="13" t="s">
        <v>104</v>
      </c>
      <c r="E194" s="5" t="s">
        <v>505</v>
      </c>
      <c r="F194" s="5" t="s">
        <v>20</v>
      </c>
      <c r="G194" s="5" t="s">
        <v>33</v>
      </c>
      <c r="H194" s="5" t="s">
        <v>506</v>
      </c>
      <c r="I194" s="6" t="str">
        <f>HYPERLINK("https://www.excite.co.jp/news/article/Fashionsnap_article_2021-02-12_casetify-louvre/","URLを開く")</f>
        <v>URLを開く</v>
      </c>
      <c r="J194" s="10" t="s">
        <v>23</v>
      </c>
      <c r="K194" s="10" t="s">
        <v>23</v>
      </c>
    </row>
    <row r="195" spans="1:11">
      <c r="A195" s="7" t="s">
        <v>345</v>
      </c>
      <c r="B195" s="7" t="s">
        <v>15</v>
      </c>
      <c r="C195" s="13" t="s">
        <v>507</v>
      </c>
      <c r="D195" s="13" t="s">
        <v>508</v>
      </c>
      <c r="E195" s="5" t="s">
        <v>509</v>
      </c>
      <c r="F195" s="5" t="s">
        <v>510</v>
      </c>
      <c r="G195" s="5" t="s">
        <v>27</v>
      </c>
      <c r="H195" s="5" t="s">
        <v>511</v>
      </c>
      <c r="I195" s="6" t="str">
        <f>HYPERLINK("https://www.vogue.co.jp/fashion/article/mayumi-numao-adidas-stansmith","URLを開く")</f>
        <v>URLを開く</v>
      </c>
      <c r="J195" s="10" t="s">
        <v>23</v>
      </c>
      <c r="K195" s="10" t="s">
        <v>23</v>
      </c>
    </row>
    <row r="196" spans="1:11">
      <c r="A196" s="7" t="s">
        <v>345</v>
      </c>
      <c r="B196" s="7" t="s">
        <v>15</v>
      </c>
      <c r="C196" s="13" t="s">
        <v>402</v>
      </c>
      <c r="D196" s="13" t="s">
        <v>271</v>
      </c>
      <c r="E196" s="5" t="s">
        <v>512</v>
      </c>
      <c r="F196" s="5" t="s">
        <v>20</v>
      </c>
      <c r="G196" s="5" t="s">
        <v>27</v>
      </c>
      <c r="H196" s="5" t="s">
        <v>513</v>
      </c>
      <c r="I196" s="6" t="str">
        <f>HYPERLINK("https://www.mensnonno.jp/post/31457/","URLを開く")</f>
        <v>URLを開く</v>
      </c>
      <c r="J196" s="10" t="s">
        <v>23</v>
      </c>
      <c r="K196" s="10" t="s">
        <v>23</v>
      </c>
    </row>
    <row r="197" spans="1:11">
      <c r="A197" s="7" t="s">
        <v>345</v>
      </c>
      <c r="B197" s="7" t="s">
        <v>15</v>
      </c>
      <c r="C197" s="13" t="s">
        <v>462</v>
      </c>
      <c r="D197" s="13" t="s">
        <v>462</v>
      </c>
      <c r="E197" s="5" t="s">
        <v>514</v>
      </c>
      <c r="F197" s="5" t="s">
        <v>20</v>
      </c>
      <c r="G197" s="5" t="s">
        <v>33</v>
      </c>
      <c r="H197" s="5" t="s">
        <v>515</v>
      </c>
      <c r="I197" s="6" t="str">
        <f>HYPERLINK("https://finance.yahoo.co.jp/news/detail/20210213-05471221-klugfx-fx","URLを開く")</f>
        <v>URLを開く</v>
      </c>
      <c r="J197" s="10" t="s">
        <v>23</v>
      </c>
      <c r="K197" s="10" t="s">
        <v>23</v>
      </c>
    </row>
    <row r="198" spans="1:11">
      <c r="A198" s="7" t="s">
        <v>345</v>
      </c>
      <c r="B198" s="7" t="s">
        <v>15</v>
      </c>
      <c r="C198" s="13" t="s">
        <v>516</v>
      </c>
      <c r="D198" s="13" t="s">
        <v>517</v>
      </c>
      <c r="E198" s="5" t="s">
        <v>514</v>
      </c>
      <c r="F198" s="5" t="s">
        <v>20</v>
      </c>
      <c r="G198" s="5" t="s">
        <v>27</v>
      </c>
      <c r="H198" s="5" t="s">
        <v>518</v>
      </c>
      <c r="I198" s="6" t="str">
        <f>HYPERLINK("https://fx.minkabu.jp/news/175309","URLを開く")</f>
        <v>URLを開く</v>
      </c>
      <c r="J198" s="10" t="s">
        <v>23</v>
      </c>
      <c r="K198" s="10" t="s">
        <v>23</v>
      </c>
    </row>
    <row r="199" spans="1:11">
      <c r="A199" s="7" t="s">
        <v>345</v>
      </c>
      <c r="B199" s="7" t="s">
        <v>15</v>
      </c>
      <c r="C199" s="13" t="s">
        <v>519</v>
      </c>
      <c r="D199" s="13" t="s">
        <v>517</v>
      </c>
      <c r="E199" s="5" t="s">
        <v>514</v>
      </c>
      <c r="F199" s="5" t="s">
        <v>20</v>
      </c>
      <c r="G199" s="5" t="s">
        <v>33</v>
      </c>
      <c r="H199" s="5" t="s">
        <v>520</v>
      </c>
      <c r="I199" s="6" t="str">
        <f>HYPERLINK("https://minkabu.jp/news/2884951","URLを開く")</f>
        <v>URLを開く</v>
      </c>
      <c r="J199" s="10" t="s">
        <v>23</v>
      </c>
      <c r="K199" s="10" t="s">
        <v>23</v>
      </c>
    </row>
    <row r="200" spans="1:11">
      <c r="A200" s="7" t="s">
        <v>345</v>
      </c>
      <c r="B200" s="7" t="s">
        <v>15</v>
      </c>
      <c r="C200" s="13" t="s">
        <v>462</v>
      </c>
      <c r="D200" s="13" t="s">
        <v>462</v>
      </c>
      <c r="E200" s="5" t="s">
        <v>521</v>
      </c>
      <c r="F200" s="5" t="s">
        <v>20</v>
      </c>
      <c r="G200" s="5" t="s">
        <v>33</v>
      </c>
      <c r="H200" s="5" t="s">
        <v>522</v>
      </c>
      <c r="I200" s="6" t="str">
        <f>HYPERLINK("https://finance.yahoo.co.jp/news/detail/20210213-05471244-klugfx-fx","URLを開く")</f>
        <v>URLを開く</v>
      </c>
      <c r="J200" s="10" t="s">
        <v>23</v>
      </c>
      <c r="K200" s="10" t="s">
        <v>23</v>
      </c>
    </row>
    <row r="201" spans="1:11">
      <c r="A201" s="7" t="s">
        <v>345</v>
      </c>
      <c r="B201" s="7" t="s">
        <v>15</v>
      </c>
      <c r="C201" s="13" t="s">
        <v>519</v>
      </c>
      <c r="D201" s="13" t="s">
        <v>517</v>
      </c>
      <c r="E201" s="5" t="s">
        <v>521</v>
      </c>
      <c r="F201" s="5" t="s">
        <v>20</v>
      </c>
      <c r="G201" s="5" t="s">
        <v>33</v>
      </c>
      <c r="H201" s="5" t="s">
        <v>523</v>
      </c>
      <c r="I201" s="6" t="str">
        <f>HYPERLINK("https://minkabu.jp/news/2884973","URLを開く")</f>
        <v>URLを開く</v>
      </c>
      <c r="J201" s="10" t="s">
        <v>23</v>
      </c>
      <c r="K201" s="10" t="s">
        <v>23</v>
      </c>
    </row>
    <row r="202" spans="1:11">
      <c r="A202" s="7" t="s">
        <v>345</v>
      </c>
      <c r="B202" s="7" t="s">
        <v>15</v>
      </c>
      <c r="C202" s="13" t="s">
        <v>462</v>
      </c>
      <c r="D202" s="13" t="s">
        <v>462</v>
      </c>
      <c r="E202" s="5" t="s">
        <v>524</v>
      </c>
      <c r="F202" s="5" t="s">
        <v>20</v>
      </c>
      <c r="G202" s="5" t="s">
        <v>33</v>
      </c>
      <c r="H202" s="5" t="s">
        <v>525</v>
      </c>
      <c r="I202" s="6" t="str">
        <f>HYPERLINK("https://finance.yahoo.co.jp/news/detail/20210213-05471196-klugfx-fx","URLを開く")</f>
        <v>URLを開く</v>
      </c>
      <c r="J202" s="10" t="s">
        <v>23</v>
      </c>
      <c r="K202" s="10" t="s">
        <v>23</v>
      </c>
    </row>
    <row r="203" spans="1:11">
      <c r="A203" s="7" t="s">
        <v>345</v>
      </c>
      <c r="B203" s="7" t="s">
        <v>15</v>
      </c>
      <c r="C203" s="13" t="s">
        <v>516</v>
      </c>
      <c r="D203" s="13" t="s">
        <v>517</v>
      </c>
      <c r="E203" s="5" t="s">
        <v>524</v>
      </c>
      <c r="F203" s="5" t="s">
        <v>20</v>
      </c>
      <c r="G203" s="5" t="s">
        <v>27</v>
      </c>
      <c r="H203" s="5" t="s">
        <v>526</v>
      </c>
      <c r="I203" s="6" t="str">
        <f>HYPERLINK("https://fx.minkabu.jp/news/175294","URLを開く")</f>
        <v>URLを開く</v>
      </c>
      <c r="J203" s="10" t="s">
        <v>23</v>
      </c>
      <c r="K203" s="10" t="s">
        <v>23</v>
      </c>
    </row>
    <row r="204" spans="1:11">
      <c r="A204" s="7" t="s">
        <v>345</v>
      </c>
      <c r="B204" s="7" t="s">
        <v>15</v>
      </c>
      <c r="C204" s="13" t="s">
        <v>519</v>
      </c>
      <c r="D204" s="13" t="s">
        <v>517</v>
      </c>
      <c r="E204" s="5" t="s">
        <v>524</v>
      </c>
      <c r="F204" s="5" t="s">
        <v>20</v>
      </c>
      <c r="G204" s="5" t="s">
        <v>33</v>
      </c>
      <c r="H204" s="5" t="s">
        <v>527</v>
      </c>
      <c r="I204" s="6" t="str">
        <f>HYPERLINK("https://minkabu.jp/news/2884926","URLを開く")</f>
        <v>URLを開く</v>
      </c>
      <c r="J204" s="10" t="s">
        <v>23</v>
      </c>
      <c r="K204" s="10" t="s">
        <v>23</v>
      </c>
    </row>
    <row r="205" spans="1:11">
      <c r="A205" s="7" t="s">
        <v>345</v>
      </c>
      <c r="B205" s="7" t="s">
        <v>15</v>
      </c>
      <c r="C205" s="13" t="s">
        <v>528</v>
      </c>
      <c r="D205" s="13" t="s">
        <v>179</v>
      </c>
      <c r="E205" s="5" t="s">
        <v>529</v>
      </c>
      <c r="F205" s="5" t="s">
        <v>88</v>
      </c>
      <c r="G205" s="5" t="s">
        <v>27</v>
      </c>
      <c r="H205" s="5" t="s">
        <v>530</v>
      </c>
      <c r="I205" s="6" t="str">
        <f>HYPERLINK("https://www.vivi.tv/post180996/","URLを開く")</f>
        <v>URLを開く</v>
      </c>
      <c r="J205" s="10" t="s">
        <v>23</v>
      </c>
      <c r="K205" s="10" t="s">
        <v>23</v>
      </c>
    </row>
    <row r="206" spans="1:11">
      <c r="A206" s="7" t="s">
        <v>345</v>
      </c>
      <c r="B206" s="7" t="s">
        <v>15</v>
      </c>
      <c r="C206" s="13" t="s">
        <v>531</v>
      </c>
      <c r="D206" s="13" t="s">
        <v>532</v>
      </c>
      <c r="E206" s="5" t="s">
        <v>533</v>
      </c>
      <c r="F206" s="5" t="s">
        <v>40</v>
      </c>
      <c r="G206" s="5" t="s">
        <v>27</v>
      </c>
      <c r="H206" s="5" t="s">
        <v>534</v>
      </c>
      <c r="I206" s="6" t="str">
        <f>HYPERLINK("https://www.cyclesports.jp/news/new-product/39854/?all","URLを開く")</f>
        <v>URLを開く</v>
      </c>
      <c r="J206" s="10" t="s">
        <v>23</v>
      </c>
      <c r="K206" s="10" t="s">
        <v>23</v>
      </c>
    </row>
    <row r="207" spans="1:11">
      <c r="A207" s="7" t="s">
        <v>345</v>
      </c>
      <c r="B207" s="7" t="s">
        <v>15</v>
      </c>
      <c r="C207" s="13" t="s">
        <v>146</v>
      </c>
      <c r="D207" s="13" t="s">
        <v>147</v>
      </c>
      <c r="E207" s="5" t="s">
        <v>535</v>
      </c>
      <c r="F207" s="5" t="s">
        <v>40</v>
      </c>
      <c r="G207" s="5" t="s">
        <v>33</v>
      </c>
      <c r="H207" s="5" t="s">
        <v>536</v>
      </c>
      <c r="I207" s="6" t="str">
        <f>HYPERLINK("http://topics.smt.docomo.ne.jp/article/funq/life/funq-673914?fm=latestnews","URLを開く")</f>
        <v>URLを開く</v>
      </c>
      <c r="J207" s="10" t="s">
        <v>23</v>
      </c>
      <c r="K207" s="10" t="s">
        <v>23</v>
      </c>
    </row>
    <row r="208" spans="1:11">
      <c r="A208" s="7" t="s">
        <v>345</v>
      </c>
      <c r="B208" s="7" t="s">
        <v>15</v>
      </c>
      <c r="C208" s="13" t="s">
        <v>537</v>
      </c>
      <c r="D208" s="13" t="s">
        <v>538</v>
      </c>
      <c r="E208" s="5" t="s">
        <v>539</v>
      </c>
      <c r="F208" s="5" t="s">
        <v>40</v>
      </c>
      <c r="G208" s="5" t="s">
        <v>27</v>
      </c>
      <c r="H208" s="5" t="s">
        <v>540</v>
      </c>
      <c r="I208" s="6" t="str">
        <f>HYPERLINK("https://funq.jp/bicycle-club/article/673914/","URLを開く")</f>
        <v>URLを開く</v>
      </c>
      <c r="J208" s="10" t="s">
        <v>23</v>
      </c>
      <c r="K208" s="10" t="s">
        <v>23</v>
      </c>
    </row>
    <row r="209" spans="1:11">
      <c r="A209" s="7" t="s">
        <v>345</v>
      </c>
      <c r="B209" s="7" t="s">
        <v>15</v>
      </c>
      <c r="C209" s="13" t="s">
        <v>142</v>
      </c>
      <c r="D209" s="13" t="s">
        <v>143</v>
      </c>
      <c r="E209" s="5" t="s">
        <v>539</v>
      </c>
      <c r="F209" s="5" t="s">
        <v>40</v>
      </c>
      <c r="G209" s="5" t="s">
        <v>33</v>
      </c>
      <c r="H209" s="5" t="s">
        <v>541</v>
      </c>
      <c r="I209" s="6" t="str">
        <f>HYPERLINK("https://news.goo.ne.jp/article/funq/life/funq-673914.html","URLを開く")</f>
        <v>URLを開く</v>
      </c>
      <c r="J209" s="10" t="s">
        <v>23</v>
      </c>
      <c r="K209" s="10" t="s">
        <v>23</v>
      </c>
    </row>
    <row r="210" spans="1:11">
      <c r="A210" s="7" t="s">
        <v>345</v>
      </c>
      <c r="B210" s="7" t="s">
        <v>15</v>
      </c>
      <c r="C210" s="13" t="s">
        <v>142</v>
      </c>
      <c r="D210" s="13" t="s">
        <v>143</v>
      </c>
      <c r="E210" s="5" t="s">
        <v>542</v>
      </c>
      <c r="F210" s="5" t="s">
        <v>20</v>
      </c>
      <c r="G210" s="5" t="s">
        <v>33</v>
      </c>
      <c r="H210" s="5" t="s">
        <v>543</v>
      </c>
      <c r="I210" s="6" t="str">
        <f>HYPERLINK("https://news.goo.ne.jp/article/golfdigest_minna/sports/golfdigest_minna-5db6e78219c816ea22b5818c0110783fc4e531ab.html","URLを開く")</f>
        <v>URLを開く</v>
      </c>
      <c r="J210" s="10" t="s">
        <v>23</v>
      </c>
      <c r="K210" s="10" t="s">
        <v>23</v>
      </c>
    </row>
    <row r="211" spans="1:11">
      <c r="A211" s="7" t="s">
        <v>345</v>
      </c>
      <c r="B211" s="7" t="s">
        <v>15</v>
      </c>
      <c r="C211" s="13" t="s">
        <v>42</v>
      </c>
      <c r="D211" s="13" t="s">
        <v>43</v>
      </c>
      <c r="E211" s="5" t="s">
        <v>542</v>
      </c>
      <c r="F211" s="5" t="s">
        <v>20</v>
      </c>
      <c r="G211" s="5" t="s">
        <v>33</v>
      </c>
      <c r="H211" s="5" t="s">
        <v>544</v>
      </c>
      <c r="I211" s="6" t="str">
        <f>HYPERLINK("https://news.line.me/articles/oa-rp21493/90daf2946944","URLを開く")</f>
        <v>URLを開く</v>
      </c>
      <c r="J211" s="10" t="s">
        <v>23</v>
      </c>
      <c r="K211" s="10" t="s">
        <v>23</v>
      </c>
    </row>
    <row r="212" spans="1:11">
      <c r="A212" s="7" t="s">
        <v>345</v>
      </c>
      <c r="B212" s="7" t="s">
        <v>15</v>
      </c>
      <c r="C212" s="13" t="s">
        <v>50</v>
      </c>
      <c r="D212" s="13" t="s">
        <v>51</v>
      </c>
      <c r="E212" s="5" t="s">
        <v>542</v>
      </c>
      <c r="F212" s="5" t="s">
        <v>20</v>
      </c>
      <c r="G212" s="5" t="s">
        <v>33</v>
      </c>
      <c r="H212" s="5" t="s">
        <v>545</v>
      </c>
      <c r="I212" s="6" t="str">
        <f>HYPERLINK("https://news.yahoo.co.jp/articles/d449fb827f1034f98e57d4c6913d8671fab3282e","URLを開く")</f>
        <v>URLを開く</v>
      </c>
      <c r="J212" s="10" t="s">
        <v>23</v>
      </c>
      <c r="K212" s="10" t="s">
        <v>23</v>
      </c>
    </row>
    <row r="213" spans="1:11">
      <c r="A213" s="7" t="s">
        <v>345</v>
      </c>
      <c r="B213" s="7" t="s">
        <v>15</v>
      </c>
      <c r="C213" s="13" t="s">
        <v>546</v>
      </c>
      <c r="D213" s="13" t="s">
        <v>547</v>
      </c>
      <c r="E213" s="5" t="s">
        <v>542</v>
      </c>
      <c r="F213" s="5" t="s">
        <v>20</v>
      </c>
      <c r="G213" s="5" t="s">
        <v>27</v>
      </c>
      <c r="H213" s="5" t="s">
        <v>548</v>
      </c>
      <c r="I213" s="6" t="str">
        <f>HYPERLINK("https://www.golfdigest-minna.jp/_ct/17431419","URLを開く")</f>
        <v>URLを開く</v>
      </c>
      <c r="J213" s="10" t="s">
        <v>23</v>
      </c>
      <c r="K213" s="10" t="s">
        <v>23</v>
      </c>
    </row>
    <row r="214" spans="1:11">
      <c r="A214" s="7" t="s">
        <v>345</v>
      </c>
      <c r="B214" s="7" t="s">
        <v>15</v>
      </c>
      <c r="C214" s="13" t="s">
        <v>546</v>
      </c>
      <c r="D214" s="13" t="s">
        <v>547</v>
      </c>
      <c r="E214" s="5" t="s">
        <v>542</v>
      </c>
      <c r="F214" s="5" t="s">
        <v>20</v>
      </c>
      <c r="G214" s="5" t="s">
        <v>27</v>
      </c>
      <c r="H214" s="5" t="s">
        <v>549</v>
      </c>
      <c r="I214" s="6" t="str">
        <f>HYPERLINK("https://www.golfdigest-minna.jp/_ct/17431419?o=0&amp;tg=GEAR","URLを開く")</f>
        <v>URLを開く</v>
      </c>
      <c r="J214" s="10" t="s">
        <v>23</v>
      </c>
      <c r="K214" s="10" t="s">
        <v>23</v>
      </c>
    </row>
    <row r="215" spans="1:11">
      <c r="A215" s="7" t="s">
        <v>345</v>
      </c>
      <c r="B215" s="7" t="s">
        <v>15</v>
      </c>
      <c r="C215" s="13" t="s">
        <v>146</v>
      </c>
      <c r="D215" s="13" t="s">
        <v>147</v>
      </c>
      <c r="E215" s="5" t="s">
        <v>550</v>
      </c>
      <c r="F215" s="5" t="s">
        <v>20</v>
      </c>
      <c r="G215" s="5" t="s">
        <v>33</v>
      </c>
      <c r="H215" s="5" t="s">
        <v>551</v>
      </c>
      <c r="I215" s="6" t="str">
        <f>HYPERLINK("http://topics.smt.docomo.ne.jp/article/golfdigest_minna/sports/golfdigest_minna-5db6e78219c816ea22b5818c0110783fc4e531ab?fm=latestnews","URLを開く")</f>
        <v>URLを開く</v>
      </c>
      <c r="J215" s="10" t="s">
        <v>23</v>
      </c>
      <c r="K215" s="10" t="s">
        <v>23</v>
      </c>
    </row>
    <row r="216" spans="1:11">
      <c r="A216" s="7" t="s">
        <v>345</v>
      </c>
      <c r="B216" s="7" t="s">
        <v>15</v>
      </c>
      <c r="C216" s="13" t="s">
        <v>402</v>
      </c>
      <c r="D216" s="13" t="s">
        <v>271</v>
      </c>
      <c r="E216" s="5" t="s">
        <v>552</v>
      </c>
      <c r="F216" s="5" t="s">
        <v>93</v>
      </c>
      <c r="G216" s="5" t="s">
        <v>27</v>
      </c>
      <c r="H216" s="5" t="s">
        <v>553</v>
      </c>
      <c r="I216" s="6" t="str">
        <f>HYPERLINK("https://www.mensnonno.jp/post/30870/","URLを開く")</f>
        <v>URLを開く</v>
      </c>
      <c r="J216" s="10" t="s">
        <v>23</v>
      </c>
      <c r="K216" s="10" t="s">
        <v>23</v>
      </c>
    </row>
    <row r="217" spans="1:11">
      <c r="A217" s="7" t="s">
        <v>345</v>
      </c>
      <c r="B217" s="7" t="s">
        <v>15</v>
      </c>
      <c r="C217" s="13" t="s">
        <v>554</v>
      </c>
      <c r="D217" s="13" t="s">
        <v>555</v>
      </c>
      <c r="E217" s="5" t="s">
        <v>556</v>
      </c>
      <c r="F217" s="5" t="s">
        <v>65</v>
      </c>
      <c r="G217" s="5" t="s">
        <v>33</v>
      </c>
      <c r="H217" s="5" t="s">
        <v>557</v>
      </c>
      <c r="I217" s="6" t="str">
        <f>HYPERLINK("https://locari.jp/posts/1514304?utm_content=aside-popular-on-category","URLを開く")</f>
        <v>URLを開く</v>
      </c>
      <c r="J217" s="10" t="s">
        <v>23</v>
      </c>
      <c r="K217" s="10" t="s">
        <v>23</v>
      </c>
    </row>
    <row r="218" spans="1:11">
      <c r="A218" s="7" t="s">
        <v>345</v>
      </c>
      <c r="B218" s="7" t="s">
        <v>15</v>
      </c>
      <c r="C218" s="13" t="s">
        <v>554</v>
      </c>
      <c r="D218" s="13" t="s">
        <v>555</v>
      </c>
      <c r="E218" s="5" t="s">
        <v>556</v>
      </c>
      <c r="F218" s="5" t="s">
        <v>65</v>
      </c>
      <c r="G218" s="5" t="s">
        <v>33</v>
      </c>
      <c r="H218" s="5" t="s">
        <v>558</v>
      </c>
      <c r="I218" s="6" t="str">
        <f>HYPERLINK("https://locari.jp/posts/1514304?utm_content=aside","URLを開く")</f>
        <v>URLを開く</v>
      </c>
      <c r="J218" s="10" t="s">
        <v>23</v>
      </c>
      <c r="K218" s="10" t="s">
        <v>23</v>
      </c>
    </row>
    <row r="219" spans="1:11">
      <c r="A219" s="7" t="s">
        <v>345</v>
      </c>
      <c r="B219" s="7" t="s">
        <v>15</v>
      </c>
      <c r="C219" s="13" t="s">
        <v>554</v>
      </c>
      <c r="D219" s="13" t="s">
        <v>555</v>
      </c>
      <c r="E219" s="5" t="s">
        <v>556</v>
      </c>
      <c r="F219" s="5" t="s">
        <v>65</v>
      </c>
      <c r="G219" s="5" t="s">
        <v>33</v>
      </c>
      <c r="H219" s="5" t="s">
        <v>559</v>
      </c>
      <c r="I219" s="6" t="str">
        <f>HYPERLINK("https://locari.jp/posts/1514304?utm_content=content-categorised","URLを開く")</f>
        <v>URLを開く</v>
      </c>
      <c r="J219" s="10" t="s">
        <v>23</v>
      </c>
      <c r="K219" s="10" t="s">
        <v>23</v>
      </c>
    </row>
    <row r="220" spans="1:11">
      <c r="A220" s="7" t="s">
        <v>345</v>
      </c>
      <c r="B220" s="7" t="s">
        <v>15</v>
      </c>
      <c r="C220" s="13" t="s">
        <v>554</v>
      </c>
      <c r="D220" s="13" t="s">
        <v>555</v>
      </c>
      <c r="E220" s="5" t="s">
        <v>556</v>
      </c>
      <c r="F220" s="5" t="s">
        <v>65</v>
      </c>
      <c r="G220" s="5" t="s">
        <v>33</v>
      </c>
      <c r="H220" s="5" t="s">
        <v>560</v>
      </c>
      <c r="I220" s="6" t="str">
        <f>HYPERLINK("https://locari.jp/posts/1514304?utm_content=content-featured","URLを開く")</f>
        <v>URLを開く</v>
      </c>
      <c r="J220" s="10" t="s">
        <v>23</v>
      </c>
      <c r="K220" s="10" t="s">
        <v>23</v>
      </c>
    </row>
    <row r="221" spans="1:11">
      <c r="A221" s="7" t="s">
        <v>345</v>
      </c>
      <c r="B221" s="7" t="s">
        <v>15</v>
      </c>
      <c r="C221" s="13" t="s">
        <v>402</v>
      </c>
      <c r="D221" s="13" t="s">
        <v>271</v>
      </c>
      <c r="E221" s="5" t="s">
        <v>561</v>
      </c>
      <c r="F221" s="5" t="s">
        <v>20</v>
      </c>
      <c r="G221" s="5" t="s">
        <v>27</v>
      </c>
      <c r="H221" s="5" t="s">
        <v>562</v>
      </c>
      <c r="I221" s="6" t="str">
        <f>HYPERLINK("https://www.mensnonno.jp/post/31469/","URLを開く")</f>
        <v>URLを開く</v>
      </c>
      <c r="J221" s="10" t="s">
        <v>23</v>
      </c>
      <c r="K221" s="10" t="s">
        <v>23</v>
      </c>
    </row>
    <row r="222" spans="1:11">
      <c r="A222" s="7" t="s">
        <v>345</v>
      </c>
      <c r="B222" s="7" t="s">
        <v>15</v>
      </c>
      <c r="C222" s="13" t="s">
        <v>103</v>
      </c>
      <c r="D222" s="13" t="s">
        <v>104</v>
      </c>
      <c r="E222" s="5" t="s">
        <v>155</v>
      </c>
      <c r="F222" s="5" t="s">
        <v>40</v>
      </c>
      <c r="G222" s="5" t="s">
        <v>33</v>
      </c>
      <c r="H222" s="5" t="s">
        <v>563</v>
      </c>
      <c r="I222" s="6" t="str">
        <f>HYPERLINK("https://www.excite.co.jp/news/article/Fashionsnap_article_2021-02-13_palace-skateboards-2021s/","URLを開く")</f>
        <v>URLを開く</v>
      </c>
      <c r="J222" s="10" t="s">
        <v>23</v>
      </c>
      <c r="K222" s="10" t="s">
        <v>23</v>
      </c>
    </row>
    <row r="223" spans="1:11">
      <c r="A223" s="7" t="s">
        <v>345</v>
      </c>
      <c r="B223" s="7" t="s">
        <v>15</v>
      </c>
      <c r="C223" s="13" t="s">
        <v>60</v>
      </c>
      <c r="D223" s="13" t="s">
        <v>61</v>
      </c>
      <c r="E223" s="5" t="s">
        <v>155</v>
      </c>
      <c r="F223" s="5" t="s">
        <v>40</v>
      </c>
      <c r="G223" s="5" t="s">
        <v>27</v>
      </c>
      <c r="H223" s="5" t="s">
        <v>564</v>
      </c>
      <c r="I223" s="6" t="str">
        <f>HYPERLINK("https://www.fashionsnap.com/article/2021-02-13/palace-skateboards-2021s/","URLを開く")</f>
        <v>URLを開く</v>
      </c>
      <c r="J223" s="10" t="s">
        <v>29</v>
      </c>
      <c r="K223" s="10" t="s">
        <v>23</v>
      </c>
    </row>
    <row r="224" spans="1:11">
      <c r="A224" s="7" t="s">
        <v>345</v>
      </c>
      <c r="B224" s="7" t="s">
        <v>15</v>
      </c>
      <c r="C224" s="13" t="s">
        <v>42</v>
      </c>
      <c r="D224" s="13" t="s">
        <v>43</v>
      </c>
      <c r="E224" s="5" t="s">
        <v>155</v>
      </c>
      <c r="F224" s="5" t="s">
        <v>40</v>
      </c>
      <c r="G224" s="5" t="s">
        <v>33</v>
      </c>
      <c r="H224" s="5" t="s">
        <v>565</v>
      </c>
      <c r="I224" s="6" t="str">
        <f>HYPERLINK("https://news.line.me/issue/oa-fashionsnap/endlwy7bwyn6","URLを開く")</f>
        <v>URLを開く</v>
      </c>
      <c r="J224" s="10" t="s">
        <v>23</v>
      </c>
      <c r="K224" s="10" t="s">
        <v>23</v>
      </c>
    </row>
    <row r="225" spans="1:11">
      <c r="A225" s="7" t="s">
        <v>345</v>
      </c>
      <c r="B225" s="7" t="s">
        <v>15</v>
      </c>
      <c r="C225" s="13" t="s">
        <v>279</v>
      </c>
      <c r="D225" s="13" t="s">
        <v>43</v>
      </c>
      <c r="E225" s="5" t="s">
        <v>155</v>
      </c>
      <c r="F225" s="5" t="s">
        <v>40</v>
      </c>
      <c r="G225" s="5" t="s">
        <v>33</v>
      </c>
      <c r="H225" s="5" t="s">
        <v>566</v>
      </c>
      <c r="I225" s="6" t="str">
        <f>HYPERLINK("https://news.livedoor.com/article/detail/19690913/","URLを開く")</f>
        <v>URLを開く</v>
      </c>
      <c r="J225" s="10" t="s">
        <v>23</v>
      </c>
      <c r="K225" s="10" t="s">
        <v>23</v>
      </c>
    </row>
    <row r="226" spans="1:11">
      <c r="A226" s="7" t="s">
        <v>345</v>
      </c>
      <c r="B226" s="7" t="s">
        <v>15</v>
      </c>
      <c r="C226" s="13" t="s">
        <v>567</v>
      </c>
      <c r="D226" s="13" t="s">
        <v>568</v>
      </c>
      <c r="E226" s="5" t="s">
        <v>155</v>
      </c>
      <c r="F226" s="5" t="s">
        <v>40</v>
      </c>
      <c r="G226" s="5" t="s">
        <v>33</v>
      </c>
      <c r="H226" s="5" t="s">
        <v>569</v>
      </c>
      <c r="I226" s="6" t="str">
        <f>HYPERLINK("https://news.mixi.jp/view_news.pl?id=6411060&amp;media_id=63","URLを開く")</f>
        <v>URLを開く</v>
      </c>
      <c r="J226" s="10" t="s">
        <v>23</v>
      </c>
      <c r="K226" s="10" t="s">
        <v>23</v>
      </c>
    </row>
    <row r="227" spans="1:11">
      <c r="A227" s="7" t="s">
        <v>345</v>
      </c>
      <c r="B227" s="7" t="s">
        <v>15</v>
      </c>
      <c r="C227" s="13" t="s">
        <v>567</v>
      </c>
      <c r="D227" s="13" t="s">
        <v>568</v>
      </c>
      <c r="E227" s="5" t="s">
        <v>155</v>
      </c>
      <c r="F227" s="5" t="s">
        <v>40</v>
      </c>
      <c r="G227" s="5" t="s">
        <v>33</v>
      </c>
      <c r="H227" s="5" t="s">
        <v>570</v>
      </c>
      <c r="I227" s="6" t="str">
        <f>HYPERLINK("https://news.mixi.jp/view_news.pl?from=recent_list&amp;id=6411060&amp;media_id=63","URLを開く")</f>
        <v>URLを開く</v>
      </c>
      <c r="J227" s="10" t="s">
        <v>23</v>
      </c>
      <c r="K227" s="10" t="s">
        <v>23</v>
      </c>
    </row>
    <row r="228" spans="1:11">
      <c r="A228" s="7" t="s">
        <v>345</v>
      </c>
      <c r="B228" s="7" t="s">
        <v>15</v>
      </c>
      <c r="C228" s="13" t="s">
        <v>571</v>
      </c>
      <c r="D228" s="13" t="s">
        <v>23</v>
      </c>
      <c r="E228" s="5" t="s">
        <v>572</v>
      </c>
      <c r="F228" s="5" t="s">
        <v>65</v>
      </c>
      <c r="G228" s="5" t="s">
        <v>33</v>
      </c>
      <c r="H228" s="5" t="s">
        <v>573</v>
      </c>
      <c r="I228" s="6" t="str">
        <f>HYPERLINK("https://antena.soccermaniaclub.com/?p=185801","URLを開く")</f>
        <v>URLを開く</v>
      </c>
      <c r="J228" s="10" t="s">
        <v>23</v>
      </c>
      <c r="K228" s="10" t="s">
        <v>23</v>
      </c>
    </row>
    <row r="229" spans="1:11">
      <c r="A229" s="7" t="s">
        <v>345</v>
      </c>
      <c r="B229" s="7" t="s">
        <v>15</v>
      </c>
      <c r="C229" s="13" t="s">
        <v>165</v>
      </c>
      <c r="D229" s="13" t="s">
        <v>166</v>
      </c>
      <c r="E229" s="5" t="s">
        <v>574</v>
      </c>
      <c r="F229" s="5" t="s">
        <v>20</v>
      </c>
      <c r="G229" s="5" t="s">
        <v>33</v>
      </c>
      <c r="H229" s="5" t="s">
        <v>575</v>
      </c>
      <c r="I229" s="6" t="str">
        <f>HYPERLINK("https://trilltrill.jp/articles/1791291","URLを開く")</f>
        <v>URLを開く</v>
      </c>
      <c r="J229" s="10" t="s">
        <v>23</v>
      </c>
      <c r="K229" s="10" t="s">
        <v>23</v>
      </c>
    </row>
    <row r="230" spans="1:11">
      <c r="A230" s="7" t="s">
        <v>345</v>
      </c>
      <c r="B230" s="7" t="s">
        <v>15</v>
      </c>
      <c r="C230" s="13" t="s">
        <v>103</v>
      </c>
      <c r="D230" s="13" t="s">
        <v>104</v>
      </c>
      <c r="E230" s="5" t="s">
        <v>576</v>
      </c>
      <c r="F230" s="5" t="s">
        <v>20</v>
      </c>
      <c r="G230" s="5" t="s">
        <v>33</v>
      </c>
      <c r="H230" s="5" t="s">
        <v>577</v>
      </c>
      <c r="I230" s="6" t="str">
        <f>HYPERLINK("https://www.excite.co.jp/news/article/Fashionsnap_article_2021-02-13_mimc-balm-primer/","URLを開く")</f>
        <v>URLを開く</v>
      </c>
      <c r="J230" s="10" t="s">
        <v>23</v>
      </c>
      <c r="K230" s="10" t="s">
        <v>23</v>
      </c>
    </row>
    <row r="231" spans="1:11">
      <c r="A231" s="7" t="s">
        <v>345</v>
      </c>
      <c r="B231" s="7" t="s">
        <v>15</v>
      </c>
      <c r="C231" s="13" t="s">
        <v>99</v>
      </c>
      <c r="D231" s="13" t="s">
        <v>100</v>
      </c>
      <c r="E231" s="5" t="s">
        <v>173</v>
      </c>
      <c r="F231" s="5" t="s">
        <v>40</v>
      </c>
      <c r="G231" s="5" t="s">
        <v>33</v>
      </c>
      <c r="H231" s="5" t="s">
        <v>578</v>
      </c>
      <c r="I231" s="6" t="str">
        <f>HYPERLINK("https://news.nifty.com/article/sports/soccer/12192-1183770/","URLを開く")</f>
        <v>URLを開く</v>
      </c>
      <c r="J231" s="10" t="s">
        <v>23</v>
      </c>
      <c r="K231" s="10" t="s">
        <v>23</v>
      </c>
    </row>
    <row r="232" spans="1:11">
      <c r="A232" s="7" t="s">
        <v>345</v>
      </c>
      <c r="B232" s="7" t="s">
        <v>15</v>
      </c>
      <c r="C232" s="13" t="s">
        <v>325</v>
      </c>
      <c r="D232" s="13" t="s">
        <v>326</v>
      </c>
      <c r="E232" s="5" t="s">
        <v>173</v>
      </c>
      <c r="F232" s="5" t="s">
        <v>40</v>
      </c>
      <c r="G232" s="5" t="s">
        <v>33</v>
      </c>
      <c r="H232" s="5" t="s">
        <v>579</v>
      </c>
      <c r="I232" s="6" t="str">
        <f>HYPERLINK("https://news.headlines.auone.jp/stories/sports/soccer/14185894","URLを開く")</f>
        <v>URLを開く</v>
      </c>
      <c r="J232" s="10" t="s">
        <v>23</v>
      </c>
      <c r="K232" s="10" t="s">
        <v>23</v>
      </c>
    </row>
    <row r="233" spans="1:11">
      <c r="A233" s="7" t="s">
        <v>345</v>
      </c>
      <c r="B233" s="7" t="s">
        <v>15</v>
      </c>
      <c r="C233" s="13" t="s">
        <v>201</v>
      </c>
      <c r="D233" s="13" t="s">
        <v>202</v>
      </c>
      <c r="E233" s="5" t="s">
        <v>173</v>
      </c>
      <c r="F233" s="5" t="s">
        <v>40</v>
      </c>
      <c r="G233" s="5" t="s">
        <v>33</v>
      </c>
      <c r="H233" s="5" t="s">
        <v>580</v>
      </c>
      <c r="I233" s="6" t="str">
        <f>HYPERLINK("https://news.biglobe.ne.jp/sports/0212/sck_210212_1769097032.html","URLを開く")</f>
        <v>URLを開く</v>
      </c>
      <c r="J233" s="10" t="s">
        <v>23</v>
      </c>
      <c r="K233" s="10" t="s">
        <v>23</v>
      </c>
    </row>
    <row r="234" spans="1:11">
      <c r="A234" s="7" t="s">
        <v>345</v>
      </c>
      <c r="B234" s="7" t="s">
        <v>15</v>
      </c>
      <c r="C234" s="13" t="s">
        <v>103</v>
      </c>
      <c r="D234" s="13" t="s">
        <v>104</v>
      </c>
      <c r="E234" s="5" t="s">
        <v>173</v>
      </c>
      <c r="F234" s="5" t="s">
        <v>40</v>
      </c>
      <c r="G234" s="5" t="s">
        <v>33</v>
      </c>
      <c r="H234" s="5" t="s">
        <v>581</v>
      </c>
      <c r="I234" s="6" t="str">
        <f>HYPERLINK("https://www.excite.co.jp/news/article/Soccerking_1183770/","URLを開く")</f>
        <v>URLを開く</v>
      </c>
      <c r="J234" s="10" t="s">
        <v>23</v>
      </c>
      <c r="K234" s="10" t="s">
        <v>23</v>
      </c>
    </row>
    <row r="235" spans="1:11">
      <c r="A235" s="7" t="s">
        <v>345</v>
      </c>
      <c r="B235" s="7" t="s">
        <v>15</v>
      </c>
      <c r="C235" s="13" t="s">
        <v>142</v>
      </c>
      <c r="D235" s="13" t="s">
        <v>143</v>
      </c>
      <c r="E235" s="5" t="s">
        <v>173</v>
      </c>
      <c r="F235" s="5" t="s">
        <v>40</v>
      </c>
      <c r="G235" s="5" t="s">
        <v>33</v>
      </c>
      <c r="H235" s="5" t="s">
        <v>582</v>
      </c>
      <c r="I235" s="6" t="str">
        <f>HYPERLINK("https://news.goo.ne.jp/article/soccerking/sports/soccerking-1183770.html","URLを開く")</f>
        <v>URLを開く</v>
      </c>
      <c r="J235" s="10" t="s">
        <v>23</v>
      </c>
      <c r="K235" s="10" t="s">
        <v>23</v>
      </c>
    </row>
    <row r="236" spans="1:11">
      <c r="A236" s="7" t="s">
        <v>345</v>
      </c>
      <c r="B236" s="7" t="s">
        <v>15</v>
      </c>
      <c r="C236" s="13" t="s">
        <v>583</v>
      </c>
      <c r="D236" s="13" t="s">
        <v>584</v>
      </c>
      <c r="E236" s="5" t="s">
        <v>173</v>
      </c>
      <c r="F236" s="5" t="s">
        <v>40</v>
      </c>
      <c r="G236" s="5" t="s">
        <v>33</v>
      </c>
      <c r="H236" s="5" t="s">
        <v>585</v>
      </c>
      <c r="I236" s="6" t="str">
        <f>HYPERLINK("http://jp.news.gree.net/news/entry/3920409?from_ggpnews=news_genre_list","URLを開く")</f>
        <v>URLを開く</v>
      </c>
      <c r="J236" s="10" t="s">
        <v>23</v>
      </c>
      <c r="K236" s="10" t="s">
        <v>23</v>
      </c>
    </row>
    <row r="237" spans="1:11">
      <c r="A237" s="7" t="s">
        <v>345</v>
      </c>
      <c r="B237" s="7" t="s">
        <v>15</v>
      </c>
      <c r="C237" s="13" t="s">
        <v>279</v>
      </c>
      <c r="D237" s="13" t="s">
        <v>43</v>
      </c>
      <c r="E237" s="5" t="s">
        <v>173</v>
      </c>
      <c r="F237" s="5" t="s">
        <v>40</v>
      </c>
      <c r="G237" s="5" t="s">
        <v>33</v>
      </c>
      <c r="H237" s="5" t="s">
        <v>586</v>
      </c>
      <c r="I237" s="6" t="str">
        <f>HYPERLINK("https://news.livedoor.com/article/detail/19688428/","URLを開く")</f>
        <v>URLを開く</v>
      </c>
      <c r="J237" s="10" t="s">
        <v>23</v>
      </c>
      <c r="K237" s="10" t="s">
        <v>23</v>
      </c>
    </row>
    <row r="238" spans="1:11">
      <c r="A238" s="7" t="s">
        <v>345</v>
      </c>
      <c r="B238" s="7" t="s">
        <v>15</v>
      </c>
      <c r="C238" s="13" t="s">
        <v>567</v>
      </c>
      <c r="D238" s="13" t="s">
        <v>568</v>
      </c>
      <c r="E238" s="5" t="s">
        <v>173</v>
      </c>
      <c r="F238" s="5" t="s">
        <v>40</v>
      </c>
      <c r="G238" s="5" t="s">
        <v>33</v>
      </c>
      <c r="H238" s="5" t="s">
        <v>587</v>
      </c>
      <c r="I238" s="6" t="str">
        <f>HYPERLINK("https://news.mixi.jp/view_news.pl?id=6410846&amp;media_id=138","URLを開く")</f>
        <v>URLを開く</v>
      </c>
      <c r="J238" s="10" t="s">
        <v>23</v>
      </c>
      <c r="K238" s="10" t="s">
        <v>23</v>
      </c>
    </row>
    <row r="239" spans="1:11">
      <c r="A239" s="7" t="s">
        <v>345</v>
      </c>
      <c r="B239" s="7" t="s">
        <v>15</v>
      </c>
      <c r="C239" s="13" t="s">
        <v>175</v>
      </c>
      <c r="D239" s="13" t="s">
        <v>176</v>
      </c>
      <c r="E239" s="5" t="s">
        <v>173</v>
      </c>
      <c r="F239" s="5" t="s">
        <v>40</v>
      </c>
      <c r="G239" s="5" t="s">
        <v>27</v>
      </c>
      <c r="H239" s="5" t="s">
        <v>588</v>
      </c>
      <c r="I239" s="6" t="str">
        <f>HYPERLINK("https://www.soccer-king.jp/news/world/esp/20210212/1183770.html?cx_top=sp_feature","URLを開く")</f>
        <v>URLを開く</v>
      </c>
      <c r="J239" s="10" t="s">
        <v>23</v>
      </c>
      <c r="K239" s="10" t="s">
        <v>23</v>
      </c>
    </row>
    <row r="240" spans="1:11">
      <c r="A240" s="7" t="s">
        <v>345</v>
      </c>
      <c r="B240" s="7" t="s">
        <v>15</v>
      </c>
      <c r="C240" s="13" t="s">
        <v>175</v>
      </c>
      <c r="D240" s="13" t="s">
        <v>176</v>
      </c>
      <c r="E240" s="5" t="s">
        <v>173</v>
      </c>
      <c r="F240" s="5" t="s">
        <v>40</v>
      </c>
      <c r="G240" s="5" t="s">
        <v>27</v>
      </c>
      <c r="H240" s="5" t="s">
        <v>589</v>
      </c>
      <c r="I240" s="6" t="str">
        <f>HYPERLINK("https://www.soccer-king.jp/news/world/esp/20210212/1183770.html?cx_news=page2","URLを開く")</f>
        <v>URLを開く</v>
      </c>
      <c r="J240" s="10" t="s">
        <v>23</v>
      </c>
      <c r="K240" s="10" t="s">
        <v>23</v>
      </c>
    </row>
    <row r="241" spans="1:11">
      <c r="A241" s="7" t="s">
        <v>345</v>
      </c>
      <c r="B241" s="7" t="s">
        <v>15</v>
      </c>
      <c r="C241" s="13" t="s">
        <v>175</v>
      </c>
      <c r="D241" s="13" t="s">
        <v>176</v>
      </c>
      <c r="E241" s="5" t="s">
        <v>173</v>
      </c>
      <c r="F241" s="5" t="s">
        <v>40</v>
      </c>
      <c r="G241" s="5" t="s">
        <v>27</v>
      </c>
      <c r="H241" s="5" t="s">
        <v>590</v>
      </c>
      <c r="I241" s="6" t="str">
        <f>HYPERLINK("https://www.soccer-king.jp/news/world/esp/20210212/1183770.html","URLを開く")</f>
        <v>URLを開く</v>
      </c>
      <c r="J241" s="10" t="s">
        <v>23</v>
      </c>
      <c r="K241" s="10" t="s">
        <v>23</v>
      </c>
    </row>
    <row r="242" spans="1:11">
      <c r="A242" s="7" t="s">
        <v>345</v>
      </c>
      <c r="B242" s="7" t="s">
        <v>15</v>
      </c>
      <c r="C242" s="13" t="s">
        <v>175</v>
      </c>
      <c r="D242" s="13" t="s">
        <v>176</v>
      </c>
      <c r="E242" s="5" t="s">
        <v>173</v>
      </c>
      <c r="F242" s="5" t="s">
        <v>40</v>
      </c>
      <c r="G242" s="5" t="s">
        <v>27</v>
      </c>
      <c r="H242" s="5" t="s">
        <v>591</v>
      </c>
      <c r="I242" s="6" t="str">
        <f>HYPERLINK("https://www.soccer-king.jp/news/world/esp/20210212/1183770.html?cx_cat=rankingcat","URLを開く")</f>
        <v>URLを開く</v>
      </c>
      <c r="J242" s="10" t="s">
        <v>23</v>
      </c>
      <c r="K242" s="10" t="s">
        <v>23</v>
      </c>
    </row>
    <row r="243" spans="1:11">
      <c r="A243" s="7" t="s">
        <v>345</v>
      </c>
      <c r="B243" s="7" t="s">
        <v>15</v>
      </c>
      <c r="C243" s="13" t="s">
        <v>175</v>
      </c>
      <c r="D243" s="13" t="s">
        <v>176</v>
      </c>
      <c r="E243" s="5" t="s">
        <v>173</v>
      </c>
      <c r="F243" s="5" t="s">
        <v>40</v>
      </c>
      <c r="G243" s="5" t="s">
        <v>27</v>
      </c>
      <c r="H243" s="5" t="s">
        <v>592</v>
      </c>
      <c r="I243" s="6" t="str">
        <f>HYPERLINK("https://www.soccer-king.jp/news/world/esp/20210212/1183770.html?cx_news=page1","URLを開く")</f>
        <v>URLを開く</v>
      </c>
      <c r="J243" s="10" t="s">
        <v>23</v>
      </c>
      <c r="K243" s="10" t="s">
        <v>23</v>
      </c>
    </row>
    <row r="244" spans="1:11">
      <c r="A244" s="7" t="s">
        <v>345</v>
      </c>
      <c r="B244" s="7" t="s">
        <v>15</v>
      </c>
      <c r="C244" s="13" t="s">
        <v>175</v>
      </c>
      <c r="D244" s="13" t="s">
        <v>176</v>
      </c>
      <c r="E244" s="5" t="s">
        <v>173</v>
      </c>
      <c r="F244" s="5" t="s">
        <v>40</v>
      </c>
      <c r="G244" s="5" t="s">
        <v>27</v>
      </c>
      <c r="H244" s="5" t="s">
        <v>593</v>
      </c>
      <c r="I244" s="6" t="str">
        <f>HYPERLINK("https://www.soccer-king.jp/news/world/esp/20210212/1183770.html?cx_top=newarrival","URLを開く")</f>
        <v>URLを開く</v>
      </c>
      <c r="J244" s="10" t="s">
        <v>23</v>
      </c>
      <c r="K244" s="10" t="s">
        <v>23</v>
      </c>
    </row>
    <row r="245" spans="1:11">
      <c r="A245" s="7" t="s">
        <v>345</v>
      </c>
      <c r="B245" s="7" t="s">
        <v>15</v>
      </c>
      <c r="C245" s="13" t="s">
        <v>175</v>
      </c>
      <c r="D245" s="13" t="s">
        <v>176</v>
      </c>
      <c r="E245" s="5" t="s">
        <v>173</v>
      </c>
      <c r="F245" s="5" t="s">
        <v>40</v>
      </c>
      <c r="G245" s="5" t="s">
        <v>27</v>
      </c>
      <c r="H245" s="5" t="s">
        <v>594</v>
      </c>
      <c r="I245" s="6" t="str">
        <f>HYPERLINK("https://www.soccer-king.jp/news/world/esp/20210212/1183770.html?cx_top=topix","URLを開く")</f>
        <v>URLを開く</v>
      </c>
      <c r="J245" s="10" t="s">
        <v>23</v>
      </c>
      <c r="K245" s="10" t="s">
        <v>23</v>
      </c>
    </row>
    <row r="246" spans="1:11">
      <c r="A246" s="7" t="s">
        <v>345</v>
      </c>
      <c r="B246" s="7" t="s">
        <v>15</v>
      </c>
      <c r="C246" s="13" t="s">
        <v>238</v>
      </c>
      <c r="D246" s="13" t="s">
        <v>239</v>
      </c>
      <c r="E246" s="5" t="s">
        <v>173</v>
      </c>
      <c r="F246" s="5" t="s">
        <v>40</v>
      </c>
      <c r="G246" s="5" t="s">
        <v>33</v>
      </c>
      <c r="H246" s="5" t="s">
        <v>595</v>
      </c>
      <c r="I246" s="6" t="str">
        <f>HYPERLINK("https://news.nicovideo.jp/watch/nw8931232","URLを開く")</f>
        <v>URLを開く</v>
      </c>
      <c r="J246" s="10" t="s">
        <v>23</v>
      </c>
      <c r="K246" s="10" t="s">
        <v>23</v>
      </c>
    </row>
    <row r="247" spans="1:11">
      <c r="A247" s="7" t="s">
        <v>345</v>
      </c>
      <c r="B247" s="7" t="s">
        <v>15</v>
      </c>
      <c r="C247" s="13" t="s">
        <v>596</v>
      </c>
      <c r="D247" s="13" t="s">
        <v>597</v>
      </c>
      <c r="E247" s="5" t="s">
        <v>173</v>
      </c>
      <c r="F247" s="5" t="s">
        <v>40</v>
      </c>
      <c r="G247" s="5" t="s">
        <v>27</v>
      </c>
      <c r="H247" s="5" t="s">
        <v>598</v>
      </c>
      <c r="I247" s="6" t="str">
        <f>HYPERLINK("https://mainichi.jp/articles/20210212/sck/00m/050/028000c","URLを開く")</f>
        <v>URLを開く</v>
      </c>
      <c r="J247" s="10" t="s">
        <v>23</v>
      </c>
      <c r="K247" s="10" t="s">
        <v>23</v>
      </c>
    </row>
    <row r="248" spans="1:11">
      <c r="A248" s="7" t="s">
        <v>345</v>
      </c>
      <c r="B248" s="7" t="s">
        <v>15</v>
      </c>
      <c r="C248" s="13" t="s">
        <v>599</v>
      </c>
      <c r="D248" s="13" t="s">
        <v>600</v>
      </c>
      <c r="E248" s="5" t="s">
        <v>601</v>
      </c>
      <c r="F248" s="5" t="s">
        <v>40</v>
      </c>
      <c r="G248" s="5" t="s">
        <v>33</v>
      </c>
      <c r="H248" s="5" t="s">
        <v>602</v>
      </c>
      <c r="I248" s="6" t="str">
        <f>HYPERLINK("https://www.thenews.ne.jp/detail/999733","URLを開く")</f>
        <v>URLを開く</v>
      </c>
      <c r="J248" s="10" t="s">
        <v>23</v>
      </c>
      <c r="K248" s="10" t="s">
        <v>23</v>
      </c>
    </row>
    <row r="249" spans="1:11">
      <c r="A249" s="7" t="s">
        <v>345</v>
      </c>
      <c r="B249" s="7" t="s">
        <v>15</v>
      </c>
      <c r="C249" s="13" t="s">
        <v>50</v>
      </c>
      <c r="D249" s="13" t="s">
        <v>51</v>
      </c>
      <c r="E249" s="5" t="s">
        <v>603</v>
      </c>
      <c r="F249" s="5" t="s">
        <v>40</v>
      </c>
      <c r="G249" s="5" t="s">
        <v>33</v>
      </c>
      <c r="H249" s="5" t="s">
        <v>604</v>
      </c>
      <c r="I249" s="6" t="str">
        <f>HYPERLINK("https://news.yahoo.co.jp/articles/f699360aba4c53abd3df388754cfa18fb1d7a52c","URLを開く")</f>
        <v>URLを開く</v>
      </c>
      <c r="J249" s="10" t="s">
        <v>23</v>
      </c>
      <c r="K249" s="10" t="s">
        <v>23</v>
      </c>
    </row>
    <row r="250" spans="1:11">
      <c r="A250" s="7" t="s">
        <v>345</v>
      </c>
      <c r="B250" s="7" t="s">
        <v>15</v>
      </c>
      <c r="C250" s="13" t="s">
        <v>146</v>
      </c>
      <c r="D250" s="13" t="s">
        <v>147</v>
      </c>
      <c r="E250" s="5" t="s">
        <v>605</v>
      </c>
      <c r="F250" s="5" t="s">
        <v>40</v>
      </c>
      <c r="G250" s="5" t="s">
        <v>33</v>
      </c>
      <c r="H250" s="5" t="s">
        <v>606</v>
      </c>
      <c r="I250" s="6" t="str">
        <f>HYPERLINK("http://topics.smt.docomo.ne.jp/article/soccerking/sports/soccerking-1183770?fm=latestnews","URLを開く")</f>
        <v>URLを開く</v>
      </c>
      <c r="J250" s="10" t="s">
        <v>23</v>
      </c>
      <c r="K250" s="10" t="s">
        <v>23</v>
      </c>
    </row>
    <row r="251" spans="1:11">
      <c r="A251" s="7" t="s">
        <v>345</v>
      </c>
      <c r="B251" s="7" t="s">
        <v>15</v>
      </c>
      <c r="C251" s="13" t="s">
        <v>279</v>
      </c>
      <c r="D251" s="13" t="s">
        <v>43</v>
      </c>
      <c r="E251" s="5" t="s">
        <v>185</v>
      </c>
      <c r="F251" s="5" t="s">
        <v>58</v>
      </c>
      <c r="G251" s="5" t="s">
        <v>33</v>
      </c>
      <c r="H251" s="5" t="s">
        <v>607</v>
      </c>
      <c r="I251" s="6" t="str">
        <f>HYPERLINK("https://news.livedoor.com/article/detail/19690570/","URLを開く")</f>
        <v>URLを開く</v>
      </c>
      <c r="J251" s="10" t="s">
        <v>23</v>
      </c>
      <c r="K251" s="10" t="s">
        <v>23</v>
      </c>
    </row>
    <row r="252" spans="1:11">
      <c r="A252" s="7" t="s">
        <v>345</v>
      </c>
      <c r="B252" s="7" t="s">
        <v>15</v>
      </c>
      <c r="C252" s="13" t="s">
        <v>608</v>
      </c>
      <c r="D252" s="13" t="s">
        <v>609</v>
      </c>
      <c r="E252" s="5" t="s">
        <v>185</v>
      </c>
      <c r="F252" s="5" t="s">
        <v>58</v>
      </c>
      <c r="G252" s="5" t="s">
        <v>27</v>
      </c>
      <c r="H252" s="5" t="s">
        <v>610</v>
      </c>
      <c r="I252" s="6" t="str">
        <f>HYPERLINK("http://www.mylifenews.net/sports/2021/02/lc114mc114.html","URLを開く")</f>
        <v>URLを開く</v>
      </c>
      <c r="J252" s="10" t="s">
        <v>23</v>
      </c>
      <c r="K252" s="10" t="s">
        <v>23</v>
      </c>
    </row>
    <row r="253" spans="1:11">
      <c r="A253" s="7" t="s">
        <v>345</v>
      </c>
      <c r="B253" s="7" t="s">
        <v>15</v>
      </c>
      <c r="C253" s="13" t="s">
        <v>50</v>
      </c>
      <c r="D253" s="13" t="s">
        <v>51</v>
      </c>
      <c r="E253" s="5" t="s">
        <v>611</v>
      </c>
      <c r="F253" s="5" t="s">
        <v>88</v>
      </c>
      <c r="G253" s="5" t="s">
        <v>33</v>
      </c>
      <c r="H253" s="5" t="s">
        <v>612</v>
      </c>
      <c r="I253" s="6" t="str">
        <f>HYPERLINK("https://news.yahoo.co.jp/articles/942be1af0b9131237182b3c9f4fa8159a817fba3","URLを開く")</f>
        <v>URLを開く</v>
      </c>
      <c r="J253" s="10" t="s">
        <v>23</v>
      </c>
      <c r="K253" s="10" t="s">
        <v>23</v>
      </c>
    </row>
    <row r="254" spans="1:11">
      <c r="A254" s="7" t="s">
        <v>345</v>
      </c>
      <c r="B254" s="7" t="s">
        <v>15</v>
      </c>
      <c r="C254" s="13" t="s">
        <v>613</v>
      </c>
      <c r="D254" s="13" t="s">
        <v>614</v>
      </c>
      <c r="E254" s="5" t="s">
        <v>615</v>
      </c>
      <c r="F254" s="5" t="s">
        <v>93</v>
      </c>
      <c r="G254" s="5" t="s">
        <v>27</v>
      </c>
      <c r="H254" s="5" t="s">
        <v>616</v>
      </c>
      <c r="I254" s="6" t="str">
        <f>HYPERLINK("https://www.olive-hitomawashi.com/selfcare/2021/02/post-2544.html","URLを開く")</f>
        <v>URLを開く</v>
      </c>
      <c r="J254" s="10" t="s">
        <v>23</v>
      </c>
      <c r="K254" s="10" t="s">
        <v>23</v>
      </c>
    </row>
    <row r="255" spans="1:11">
      <c r="A255" s="7" t="s">
        <v>345</v>
      </c>
      <c r="B255" s="7" t="s">
        <v>15</v>
      </c>
      <c r="C255" s="13" t="s">
        <v>617</v>
      </c>
      <c r="D255" s="13" t="s">
        <v>129</v>
      </c>
      <c r="E255" s="5" t="s">
        <v>618</v>
      </c>
      <c r="F255" s="5" t="s">
        <v>20</v>
      </c>
      <c r="G255" s="5" t="s">
        <v>27</v>
      </c>
      <c r="H255" s="5" t="s">
        <v>619</v>
      </c>
      <c r="I255" s="6" t="str">
        <f>HYPERLINK("https://domani.shogakukan.co.jp/457674","URLを開く")</f>
        <v>URLを開く</v>
      </c>
      <c r="J255" s="10" t="s">
        <v>23</v>
      </c>
      <c r="K255" s="10" t="s">
        <v>23</v>
      </c>
    </row>
    <row r="256" spans="1:11">
      <c r="A256" s="7" t="s">
        <v>345</v>
      </c>
      <c r="B256" s="7" t="s">
        <v>15</v>
      </c>
      <c r="C256" s="13" t="s">
        <v>620</v>
      </c>
      <c r="D256" s="13" t="s">
        <v>621</v>
      </c>
      <c r="E256" s="5" t="s">
        <v>191</v>
      </c>
      <c r="F256" s="5" t="s">
        <v>20</v>
      </c>
      <c r="G256" s="5" t="s">
        <v>21</v>
      </c>
      <c r="H256" s="5" t="s">
        <v>622</v>
      </c>
      <c r="I256" s="6" t="str">
        <f>HYPERLINK("https://prtimes.jp/main/html/rd/p/000000334.000020320.html","URLを開く")</f>
        <v>URLを開く</v>
      </c>
      <c r="J256" s="10" t="s">
        <v>23</v>
      </c>
      <c r="K256" s="10" t="s">
        <v>23</v>
      </c>
    </row>
    <row r="257" spans="1:11">
      <c r="A257" s="7" t="s">
        <v>345</v>
      </c>
      <c r="B257" s="7" t="s">
        <v>15</v>
      </c>
      <c r="C257" s="13" t="s">
        <v>623</v>
      </c>
      <c r="D257" s="13" t="s">
        <v>23</v>
      </c>
      <c r="E257" s="5" t="s">
        <v>191</v>
      </c>
      <c r="F257" s="5" t="s">
        <v>20</v>
      </c>
      <c r="G257" s="5" t="s">
        <v>21</v>
      </c>
      <c r="H257" s="5" t="s">
        <v>624</v>
      </c>
      <c r="I257" s="6" t="str">
        <f>HYPERLINK("https://wmr.tokyo/serial-entrepreneur/archives/522813","URLを開く")</f>
        <v>URLを開く</v>
      </c>
      <c r="J257" s="10" t="s">
        <v>23</v>
      </c>
      <c r="K257" s="10" t="s">
        <v>23</v>
      </c>
    </row>
    <row r="258" spans="1:11">
      <c r="A258" s="7" t="s">
        <v>345</v>
      </c>
      <c r="B258" s="7" t="s">
        <v>15</v>
      </c>
      <c r="C258" s="13" t="s">
        <v>623</v>
      </c>
      <c r="D258" s="13" t="s">
        <v>23</v>
      </c>
      <c r="E258" s="5" t="s">
        <v>191</v>
      </c>
      <c r="F258" s="5" t="s">
        <v>20</v>
      </c>
      <c r="G258" s="5" t="s">
        <v>21</v>
      </c>
      <c r="H258" s="5" t="s">
        <v>625</v>
      </c>
      <c r="I258" s="6" t="str">
        <f>HYPERLINK("https://wmr.tokyo/travel/2021/02/519994/","URLを開く")</f>
        <v>URLを開く</v>
      </c>
      <c r="J258" s="10" t="s">
        <v>23</v>
      </c>
      <c r="K258" s="10" t="s">
        <v>23</v>
      </c>
    </row>
    <row r="259" spans="1:11">
      <c r="A259" s="7" t="s">
        <v>345</v>
      </c>
      <c r="B259" s="7" t="s">
        <v>15</v>
      </c>
      <c r="C259" s="13" t="s">
        <v>626</v>
      </c>
      <c r="D259" s="13" t="s">
        <v>627</v>
      </c>
      <c r="E259" s="5" t="s">
        <v>628</v>
      </c>
      <c r="F259" s="5" t="s">
        <v>40</v>
      </c>
      <c r="G259" s="5" t="s">
        <v>27</v>
      </c>
      <c r="H259" s="5" t="s">
        <v>629</v>
      </c>
      <c r="I259" s="6" t="str">
        <f>HYPERLINK("https://nlab.itmedia.co.jp/research/articles/118993/","URLを開く")</f>
        <v>URLを開く</v>
      </c>
      <c r="J259" s="10" t="s">
        <v>23</v>
      </c>
      <c r="K259" s="10" t="s">
        <v>23</v>
      </c>
    </row>
    <row r="260" spans="1:11">
      <c r="A260" s="7" t="s">
        <v>345</v>
      </c>
      <c r="B260" s="7" t="s">
        <v>15</v>
      </c>
      <c r="C260" s="13" t="s">
        <v>50</v>
      </c>
      <c r="D260" s="13" t="s">
        <v>51</v>
      </c>
      <c r="E260" s="5" t="s">
        <v>630</v>
      </c>
      <c r="F260" s="5" t="s">
        <v>40</v>
      </c>
      <c r="G260" s="5" t="s">
        <v>33</v>
      </c>
      <c r="H260" s="5" t="s">
        <v>631</v>
      </c>
      <c r="I260" s="6" t="str">
        <f>HYPERLINK("https://news.yahoo.co.jp/articles/d4541600ac10f8299eb132bb06f66f6fd7ab3c06","URLを開く")</f>
        <v>URLを開く</v>
      </c>
      <c r="J260" s="10" t="s">
        <v>23</v>
      </c>
      <c r="K260" s="10" t="s">
        <v>23</v>
      </c>
    </row>
    <row r="261" spans="1:11">
      <c r="A261" s="7" t="s">
        <v>345</v>
      </c>
      <c r="B261" s="7" t="s">
        <v>15</v>
      </c>
      <c r="C261" s="13" t="s">
        <v>528</v>
      </c>
      <c r="D261" s="13" t="s">
        <v>179</v>
      </c>
      <c r="E261" s="5" t="s">
        <v>632</v>
      </c>
      <c r="F261" s="5" t="s">
        <v>65</v>
      </c>
      <c r="G261" s="5" t="s">
        <v>27</v>
      </c>
      <c r="H261" s="5" t="s">
        <v>633</v>
      </c>
      <c r="I261" s="6" t="str">
        <f>HYPERLINK("https://www.vivi.tv/post179984/","URLを開く")</f>
        <v>URLを開く</v>
      </c>
      <c r="J261" s="10" t="s">
        <v>23</v>
      </c>
      <c r="K261" s="10" t="s">
        <v>23</v>
      </c>
    </row>
    <row r="262" spans="1:11">
      <c r="A262" s="7" t="s">
        <v>345</v>
      </c>
      <c r="B262" s="7" t="s">
        <v>15</v>
      </c>
      <c r="C262" s="13" t="s">
        <v>128</v>
      </c>
      <c r="D262" s="13" t="s">
        <v>129</v>
      </c>
      <c r="E262" s="5" t="s">
        <v>634</v>
      </c>
      <c r="F262" s="5" t="s">
        <v>20</v>
      </c>
      <c r="G262" s="5" t="s">
        <v>27</v>
      </c>
      <c r="H262" s="5" t="s">
        <v>635</v>
      </c>
      <c r="I262" s="6" t="str">
        <f>HYPERLINK("https://oggi.jp/6422786","URLを開く")</f>
        <v>URLを開く</v>
      </c>
      <c r="J262" s="10" t="s">
        <v>23</v>
      </c>
      <c r="K262" s="10" t="s">
        <v>23</v>
      </c>
    </row>
    <row r="263" spans="1:11">
      <c r="A263" s="7" t="s">
        <v>345</v>
      </c>
      <c r="B263" s="7" t="s">
        <v>15</v>
      </c>
      <c r="C263" s="13" t="s">
        <v>636</v>
      </c>
      <c r="D263" s="13" t="s">
        <v>129</v>
      </c>
      <c r="E263" s="5" t="s">
        <v>637</v>
      </c>
      <c r="F263" s="5" t="s">
        <v>20</v>
      </c>
      <c r="G263" s="5" t="s">
        <v>27</v>
      </c>
      <c r="H263" s="5" t="s">
        <v>638</v>
      </c>
      <c r="I263" s="6" t="str">
        <f>HYPERLINK("https://kufura.jp/life/fashion/156447","URLを開く")</f>
        <v>URLを開く</v>
      </c>
      <c r="J263" s="10" t="s">
        <v>23</v>
      </c>
      <c r="K263" s="10" t="s">
        <v>23</v>
      </c>
    </row>
    <row r="264" spans="1:11">
      <c r="A264" s="7" t="s">
        <v>345</v>
      </c>
      <c r="B264" s="7" t="s">
        <v>15</v>
      </c>
      <c r="C264" s="13" t="s">
        <v>639</v>
      </c>
      <c r="D264" s="13" t="s">
        <v>640</v>
      </c>
      <c r="E264" s="5" t="s">
        <v>641</v>
      </c>
      <c r="F264" s="5" t="s">
        <v>188</v>
      </c>
      <c r="G264" s="5" t="s">
        <v>27</v>
      </c>
      <c r="H264" s="5" t="s">
        <v>642</v>
      </c>
      <c r="I264" s="6" t="str">
        <f>HYPERLINK("https://folk-media.com/2832241","URLを開く")</f>
        <v>URLを開く</v>
      </c>
      <c r="J264" s="10" t="s">
        <v>23</v>
      </c>
      <c r="K264" s="10" t="s">
        <v>23</v>
      </c>
    </row>
    <row r="265" spans="1:11">
      <c r="A265" s="7" t="s">
        <v>345</v>
      </c>
      <c r="B265" s="7" t="s">
        <v>15</v>
      </c>
      <c r="C265" s="13" t="s">
        <v>643</v>
      </c>
      <c r="D265" s="13" t="s">
        <v>104</v>
      </c>
      <c r="E265" s="5" t="s">
        <v>641</v>
      </c>
      <c r="F265" s="5" t="s">
        <v>188</v>
      </c>
      <c r="G265" s="5" t="s">
        <v>27</v>
      </c>
      <c r="H265" s="5" t="s">
        <v>644</v>
      </c>
      <c r="I265" s="6" t="str">
        <f>HYPERLINK("https://laurier.excite.co.jp/i/Folk_2832241","URLを開く")</f>
        <v>URLを開く</v>
      </c>
      <c r="J265" s="10" t="s">
        <v>23</v>
      </c>
      <c r="K265" s="10" t="s">
        <v>23</v>
      </c>
    </row>
    <row r="266" spans="1:11">
      <c r="A266" s="7" t="s">
        <v>345</v>
      </c>
      <c r="B266" s="7" t="s">
        <v>15</v>
      </c>
      <c r="C266" s="13" t="s">
        <v>645</v>
      </c>
      <c r="D266" s="13" t="s">
        <v>646</v>
      </c>
      <c r="E266" s="5" t="s">
        <v>641</v>
      </c>
      <c r="F266" s="5" t="s">
        <v>188</v>
      </c>
      <c r="G266" s="5" t="s">
        <v>33</v>
      </c>
      <c r="H266" s="5" t="s">
        <v>647</v>
      </c>
      <c r="I266" s="6" t="str">
        <f>HYPERLINK("https://michill.jp/author/articles/75307","URLを開く")</f>
        <v>URLを開く</v>
      </c>
      <c r="J266" s="10" t="s">
        <v>23</v>
      </c>
      <c r="K266" s="10" t="s">
        <v>23</v>
      </c>
    </row>
    <row r="267" spans="1:11">
      <c r="A267" s="7" t="s">
        <v>345</v>
      </c>
      <c r="B267" s="7" t="s">
        <v>15</v>
      </c>
      <c r="C267" s="13" t="s">
        <v>165</v>
      </c>
      <c r="D267" s="13" t="s">
        <v>166</v>
      </c>
      <c r="E267" s="5" t="s">
        <v>641</v>
      </c>
      <c r="F267" s="5" t="s">
        <v>188</v>
      </c>
      <c r="G267" s="5" t="s">
        <v>33</v>
      </c>
      <c r="H267" s="5" t="s">
        <v>648</v>
      </c>
      <c r="I267" s="6" t="str">
        <f>HYPERLINK("https://trilltrill.jp/articles/1792090","URLを開く")</f>
        <v>URLを開く</v>
      </c>
      <c r="J267" s="10" t="s">
        <v>23</v>
      </c>
      <c r="K267" s="10" t="s">
        <v>23</v>
      </c>
    </row>
    <row r="268" spans="1:11">
      <c r="A268" s="7" t="s">
        <v>345</v>
      </c>
      <c r="B268" s="7" t="s">
        <v>15</v>
      </c>
      <c r="C268" s="13" t="s">
        <v>113</v>
      </c>
      <c r="D268" s="13" t="s">
        <v>104</v>
      </c>
      <c r="E268" s="5" t="s">
        <v>641</v>
      </c>
      <c r="F268" s="5" t="s">
        <v>188</v>
      </c>
      <c r="G268" s="5" t="s">
        <v>33</v>
      </c>
      <c r="H268" s="5" t="s">
        <v>649</v>
      </c>
      <c r="I268" s="6" t="str">
        <f>HYPERLINK("https://woman.excite.co.jp/article/lifestyle/rid_Folk_2832241/","URLを開く")</f>
        <v>URLを開く</v>
      </c>
      <c r="J268" s="10" t="s">
        <v>23</v>
      </c>
      <c r="K268" s="10" t="s">
        <v>23</v>
      </c>
    </row>
    <row r="269" spans="1:11">
      <c r="A269" s="7" t="s">
        <v>345</v>
      </c>
      <c r="B269" s="7" t="s">
        <v>15</v>
      </c>
      <c r="C269" s="13" t="s">
        <v>162</v>
      </c>
      <c r="D269" s="13" t="s">
        <v>163</v>
      </c>
      <c r="E269" s="5" t="s">
        <v>641</v>
      </c>
      <c r="F269" s="5" t="s">
        <v>188</v>
      </c>
      <c r="G269" s="5" t="s">
        <v>33</v>
      </c>
      <c r="H269" s="5" t="s">
        <v>650</v>
      </c>
      <c r="I269" s="6" t="str">
        <f>HYPERLINK("https://gunosy.com/articles/ezs31","URLを開く")</f>
        <v>URLを開く</v>
      </c>
      <c r="J269" s="10" t="s">
        <v>23</v>
      </c>
      <c r="K269" s="10" t="s">
        <v>23</v>
      </c>
    </row>
    <row r="270" spans="1:11">
      <c r="A270" s="7" t="s">
        <v>345</v>
      </c>
      <c r="B270" s="7" t="s">
        <v>15</v>
      </c>
      <c r="C270" s="13" t="s">
        <v>342</v>
      </c>
      <c r="D270" s="13" t="s">
        <v>343</v>
      </c>
      <c r="E270" s="5" t="s">
        <v>641</v>
      </c>
      <c r="F270" s="5" t="s">
        <v>188</v>
      </c>
      <c r="G270" s="5" t="s">
        <v>33</v>
      </c>
      <c r="H270" s="5" t="s">
        <v>651</v>
      </c>
      <c r="I270" s="6" t="str">
        <f>HYPERLINK("https://news.merumo.ne.jp/article/genre/10466701","URLを開く")</f>
        <v>URLを開く</v>
      </c>
      <c r="J270" s="10" t="s">
        <v>23</v>
      </c>
      <c r="K270" s="10" t="s">
        <v>23</v>
      </c>
    </row>
    <row r="271" spans="1:11">
      <c r="A271" s="7" t="s">
        <v>345</v>
      </c>
      <c r="B271" s="7" t="s">
        <v>15</v>
      </c>
      <c r="C271" s="13" t="s">
        <v>652</v>
      </c>
      <c r="D271" s="13" t="s">
        <v>653</v>
      </c>
      <c r="E271" s="5" t="s">
        <v>641</v>
      </c>
      <c r="F271" s="5" t="s">
        <v>188</v>
      </c>
      <c r="G271" s="5" t="s">
        <v>27</v>
      </c>
      <c r="H271" s="5" t="s">
        <v>654</v>
      </c>
      <c r="I271" s="6" t="str">
        <f>HYPERLINK("https://mdpr.jp/fashion/detail/2437407","URLを開く")</f>
        <v>URLを開く</v>
      </c>
      <c r="J271" s="10" t="s">
        <v>23</v>
      </c>
      <c r="K271" s="10" t="s">
        <v>23</v>
      </c>
    </row>
    <row r="272" spans="1:11">
      <c r="A272" s="7" t="s">
        <v>345</v>
      </c>
      <c r="B272" s="7" t="s">
        <v>15</v>
      </c>
      <c r="C272" s="13" t="s">
        <v>617</v>
      </c>
      <c r="D272" s="13" t="s">
        <v>129</v>
      </c>
      <c r="E272" s="5" t="s">
        <v>288</v>
      </c>
      <c r="F272" s="5" t="s">
        <v>20</v>
      </c>
      <c r="G272" s="5" t="s">
        <v>27</v>
      </c>
      <c r="H272" s="5" t="s">
        <v>655</v>
      </c>
      <c r="I272" s="6" t="str">
        <f>HYPERLINK("https://domani.shogakukan.co.jp/461678","URLを開く")</f>
        <v>URLを開く</v>
      </c>
      <c r="J272" s="10" t="s">
        <v>23</v>
      </c>
      <c r="K272" s="10" t="s">
        <v>23</v>
      </c>
    </row>
    <row r="273" spans="1:11">
      <c r="A273" s="7" t="s">
        <v>345</v>
      </c>
      <c r="B273" s="7" t="s">
        <v>15</v>
      </c>
      <c r="C273" s="13" t="s">
        <v>656</v>
      </c>
      <c r="D273" s="13" t="s">
        <v>23</v>
      </c>
      <c r="E273" s="5" t="s">
        <v>657</v>
      </c>
      <c r="F273" s="5" t="s">
        <v>20</v>
      </c>
      <c r="G273" s="5" t="s">
        <v>27</v>
      </c>
      <c r="H273" s="5" t="s">
        <v>658</v>
      </c>
      <c r="I273" s="6" t="str">
        <f>HYPERLINK("https://hashirou.com/article/page/nike-zoomx-invincible-run-release","URLを開く")</f>
        <v>URLを開く</v>
      </c>
      <c r="J273" s="10" t="s">
        <v>23</v>
      </c>
      <c r="K273" s="10" t="s">
        <v>23</v>
      </c>
    </row>
    <row r="274" spans="1:11">
      <c r="A274" s="7" t="s">
        <v>345</v>
      </c>
      <c r="B274" s="7" t="s">
        <v>15</v>
      </c>
      <c r="C274" s="13" t="s">
        <v>232</v>
      </c>
      <c r="D274" s="13" t="s">
        <v>233</v>
      </c>
      <c r="E274" s="5" t="s">
        <v>309</v>
      </c>
      <c r="F274" s="5" t="s">
        <v>65</v>
      </c>
      <c r="G274" s="5" t="s">
        <v>27</v>
      </c>
      <c r="H274" s="5" t="s">
        <v>659</v>
      </c>
      <c r="I274" s="6" t="str">
        <f>HYPERLINK("https://news.jorudan.co.jp/docs/news/detail.cgi?newsid=PT000772A000031382","URLを開く")</f>
        <v>URLを開く</v>
      </c>
      <c r="J274" s="10" t="s">
        <v>23</v>
      </c>
      <c r="K274" s="10" t="s">
        <v>23</v>
      </c>
    </row>
    <row r="275" spans="1:11">
      <c r="A275" s="7" t="s">
        <v>345</v>
      </c>
      <c r="B275" s="7" t="s">
        <v>15</v>
      </c>
      <c r="C275" s="13" t="s">
        <v>250</v>
      </c>
      <c r="D275" s="13" t="s">
        <v>227</v>
      </c>
      <c r="E275" s="5" t="s">
        <v>309</v>
      </c>
      <c r="F275" s="5" t="s">
        <v>65</v>
      </c>
      <c r="G275" s="5" t="s">
        <v>27</v>
      </c>
      <c r="H275" s="5" t="s">
        <v>660</v>
      </c>
      <c r="I275" s="6" t="str">
        <f>HYPERLINK("https://www.sankei.com/economy/news/210212/prl2102120878-n1.html","URLを開く")</f>
        <v>URLを開く</v>
      </c>
      <c r="J275" s="10" t="s">
        <v>23</v>
      </c>
      <c r="K275" s="10" t="s">
        <v>23</v>
      </c>
    </row>
    <row r="276" spans="1:11">
      <c r="A276" s="7" t="s">
        <v>345</v>
      </c>
      <c r="B276" s="7" t="s">
        <v>15</v>
      </c>
      <c r="C276" s="13" t="s">
        <v>50</v>
      </c>
      <c r="D276" s="13" t="s">
        <v>51</v>
      </c>
      <c r="E276" s="5" t="s">
        <v>661</v>
      </c>
      <c r="F276" s="5" t="s">
        <v>40</v>
      </c>
      <c r="G276" s="5" t="s">
        <v>33</v>
      </c>
      <c r="H276" s="5" t="s">
        <v>662</v>
      </c>
      <c r="I276" s="6" t="str">
        <f>HYPERLINK("https://news.yahoo.co.jp/articles/2c8fcd88adf5f27da05d5fbeae162959b2841408","URLを開く")</f>
        <v>URLを開く</v>
      </c>
      <c r="J276" s="10" t="s">
        <v>23</v>
      </c>
      <c r="K276" s="10" t="s">
        <v>23</v>
      </c>
    </row>
    <row r="277" spans="1:11">
      <c r="A277" s="7" t="s">
        <v>345</v>
      </c>
      <c r="B277" s="7" t="s">
        <v>15</v>
      </c>
      <c r="C277" s="13" t="s">
        <v>663</v>
      </c>
      <c r="D277" s="13" t="s">
        <v>664</v>
      </c>
      <c r="E277" s="5" t="s">
        <v>335</v>
      </c>
      <c r="F277" s="5" t="s">
        <v>40</v>
      </c>
      <c r="G277" s="5" t="s">
        <v>27</v>
      </c>
      <c r="H277" s="5" t="s">
        <v>665</v>
      </c>
      <c r="I277" s="6" t="str">
        <f>HYPERLINK("https://mg.runtrip.jp/archives/62525","URLを開く")</f>
        <v>URLを開く</v>
      </c>
      <c r="J277" s="10" t="s">
        <v>23</v>
      </c>
      <c r="K277" s="10" t="s">
        <v>23</v>
      </c>
    </row>
    <row r="278" spans="1:11">
      <c r="A278" s="7" t="s">
        <v>345</v>
      </c>
      <c r="B278" s="7" t="s">
        <v>15</v>
      </c>
      <c r="C278" s="13" t="s">
        <v>666</v>
      </c>
      <c r="D278" s="13" t="s">
        <v>224</v>
      </c>
      <c r="E278" s="5" t="s">
        <v>339</v>
      </c>
      <c r="F278" s="5" t="s">
        <v>65</v>
      </c>
      <c r="G278" s="5" t="s">
        <v>27</v>
      </c>
      <c r="H278" s="5" t="s">
        <v>667</v>
      </c>
      <c r="I278" s="6" t="str">
        <f>HYPERLINK("https://ignite.jp/2021/02/246201/","URLを開く")</f>
        <v>URLを開く</v>
      </c>
      <c r="J278" s="10" t="s">
        <v>23</v>
      </c>
      <c r="K278" s="10" t="s">
        <v>23</v>
      </c>
    </row>
    <row r="279" spans="1:11">
      <c r="A279" s="7" t="s">
        <v>345</v>
      </c>
      <c r="B279" s="7" t="s">
        <v>15</v>
      </c>
      <c r="C279" s="13" t="s">
        <v>109</v>
      </c>
      <c r="D279" s="13" t="s">
        <v>110</v>
      </c>
      <c r="E279" s="5" t="s">
        <v>339</v>
      </c>
      <c r="F279" s="5" t="s">
        <v>65</v>
      </c>
      <c r="G279" s="5" t="s">
        <v>33</v>
      </c>
      <c r="H279" s="5" t="s">
        <v>668</v>
      </c>
      <c r="I279" s="6" t="str">
        <f>HYPERLINK("https://news.infoseek.co.jp/article/ignite_246201","URLを開く")</f>
        <v>URLを開く</v>
      </c>
      <c r="J279" s="10" t="s">
        <v>23</v>
      </c>
      <c r="K279" s="10" t="s">
        <v>23</v>
      </c>
    </row>
    <row r="280" spans="1:11">
      <c r="A280" s="7" t="s">
        <v>345</v>
      </c>
      <c r="B280" s="7" t="s">
        <v>15</v>
      </c>
      <c r="C280" s="13" t="s">
        <v>109</v>
      </c>
      <c r="D280" s="13" t="s">
        <v>110</v>
      </c>
      <c r="E280" s="5" t="s">
        <v>339</v>
      </c>
      <c r="F280" s="5" t="s">
        <v>65</v>
      </c>
      <c r="G280" s="5" t="s">
        <v>33</v>
      </c>
      <c r="H280" s="5" t="s">
        <v>669</v>
      </c>
      <c r="I280" s="6" t="str">
        <f>HYPERLINK("https://news.infoseek.co.jp/article/ignite_246201/","URLを開く")</f>
        <v>URLを開く</v>
      </c>
      <c r="J280" s="10" t="s">
        <v>23</v>
      </c>
      <c r="K280" s="10" t="s">
        <v>23</v>
      </c>
    </row>
    <row r="281" spans="1:11">
      <c r="A281" s="7" t="s">
        <v>345</v>
      </c>
      <c r="B281" s="7" t="s">
        <v>15</v>
      </c>
      <c r="C281" s="13" t="s">
        <v>670</v>
      </c>
      <c r="D281" s="13" t="s">
        <v>671</v>
      </c>
      <c r="E281" s="5" t="s">
        <v>672</v>
      </c>
      <c r="F281" s="5" t="s">
        <v>88</v>
      </c>
      <c r="G281" s="5" t="s">
        <v>27</v>
      </c>
      <c r="H281" s="5" t="s">
        <v>673</v>
      </c>
      <c r="I281" s="6" t="str">
        <f>HYPERLINK("https://maduro-online.jp/6006","URLを開く")</f>
        <v>URLを開く</v>
      </c>
      <c r="J281" s="10" t="s">
        <v>23</v>
      </c>
      <c r="K281" s="10" t="s">
        <v>23</v>
      </c>
    </row>
    <row r="282" spans="1:11">
      <c r="A282" s="7" t="s">
        <v>345</v>
      </c>
      <c r="B282" s="7" t="s">
        <v>15</v>
      </c>
      <c r="C282" s="13" t="s">
        <v>458</v>
      </c>
      <c r="D282" s="13" t="s">
        <v>459</v>
      </c>
      <c r="E282" s="5" t="s">
        <v>674</v>
      </c>
      <c r="F282" s="5" t="s">
        <v>20</v>
      </c>
      <c r="G282" s="5" t="s">
        <v>27</v>
      </c>
      <c r="H282" s="5" t="s">
        <v>675</v>
      </c>
      <c r="I282" s="6" t="str">
        <f>HYPERLINK("https://www.nikkei.com/article/DGXZAS3LANY02_T10C21A2000000/","URLを開く")</f>
        <v>URLを開く</v>
      </c>
      <c r="J282" s="10" t="s">
        <v>23</v>
      </c>
      <c r="K282" s="10" t="s">
        <v>23</v>
      </c>
    </row>
    <row r="283" spans="1:11">
      <c r="A283" s="7" t="s">
        <v>345</v>
      </c>
      <c r="B283" s="7" t="s">
        <v>15</v>
      </c>
      <c r="C283" s="13" t="s">
        <v>304</v>
      </c>
      <c r="D283" s="13" t="s">
        <v>271</v>
      </c>
      <c r="E283" s="5" t="s">
        <v>676</v>
      </c>
      <c r="F283" s="5" t="s">
        <v>88</v>
      </c>
      <c r="G283" s="5" t="s">
        <v>33</v>
      </c>
      <c r="H283" s="5" t="s">
        <v>677</v>
      </c>
      <c r="I283" s="6" t="str">
        <f>HYPERLINK("https://one.hpplus.jp/marisol/132551","URLを開く")</f>
        <v>URLを開く</v>
      </c>
      <c r="J283" s="10" t="s">
        <v>23</v>
      </c>
      <c r="K283" s="10" t="s">
        <v>23</v>
      </c>
    </row>
    <row r="284" spans="1:11">
      <c r="A284" s="7" t="s">
        <v>345</v>
      </c>
      <c r="B284" s="7" t="s">
        <v>15</v>
      </c>
      <c r="C284" s="13" t="s">
        <v>455</v>
      </c>
      <c r="D284" s="13" t="s">
        <v>271</v>
      </c>
      <c r="E284" s="5" t="s">
        <v>676</v>
      </c>
      <c r="F284" s="5" t="s">
        <v>88</v>
      </c>
      <c r="G284" s="5" t="s">
        <v>27</v>
      </c>
      <c r="H284" s="5" t="s">
        <v>678</v>
      </c>
      <c r="I284" s="6" t="str">
        <f>HYPERLINK("https://marisol.hpplus.jp/article/65740","URLを開く")</f>
        <v>URLを開く</v>
      </c>
      <c r="J284" s="10" t="s">
        <v>23</v>
      </c>
      <c r="K284" s="10" t="s">
        <v>23</v>
      </c>
    </row>
    <row r="285" spans="1:11">
      <c r="A285" s="7" t="s">
        <v>345</v>
      </c>
      <c r="B285" s="7" t="s">
        <v>15</v>
      </c>
      <c r="C285" s="13" t="s">
        <v>103</v>
      </c>
      <c r="D285" s="13" t="s">
        <v>104</v>
      </c>
      <c r="E285" s="5" t="s">
        <v>679</v>
      </c>
      <c r="F285" s="5" t="s">
        <v>20</v>
      </c>
      <c r="G285" s="5" t="s">
        <v>33</v>
      </c>
      <c r="H285" s="5" t="s">
        <v>680</v>
      </c>
      <c r="I285" s="6" t="str">
        <f>HYPERLINK("https://www.excite.co.jp/news/article/Oceans_656959/","URLを開く")</f>
        <v>URLを開く</v>
      </c>
      <c r="J285" s="10" t="s">
        <v>23</v>
      </c>
      <c r="K285" s="10" t="s">
        <v>23</v>
      </c>
    </row>
    <row r="286" spans="1:11">
      <c r="A286" s="7" t="s">
        <v>345</v>
      </c>
      <c r="B286" s="7" t="s">
        <v>15</v>
      </c>
      <c r="C286" s="13" t="s">
        <v>681</v>
      </c>
      <c r="D286" s="13" t="s">
        <v>682</v>
      </c>
      <c r="E286" s="5" t="s">
        <v>679</v>
      </c>
      <c r="F286" s="5" t="s">
        <v>20</v>
      </c>
      <c r="G286" s="5" t="s">
        <v>27</v>
      </c>
      <c r="H286" s="5" t="s">
        <v>683</v>
      </c>
      <c r="I286" s="6" t="str">
        <f>HYPERLINK("https://oceans.tokyo.jp/leisure/2021-0213-8/","URLを開く")</f>
        <v>URLを開く</v>
      </c>
      <c r="J286" s="10" t="s">
        <v>23</v>
      </c>
      <c r="K286" s="10" t="s">
        <v>23</v>
      </c>
    </row>
    <row r="287" spans="1:11">
      <c r="A287" s="7" t="s">
        <v>684</v>
      </c>
      <c r="B287" s="7" t="s">
        <v>345</v>
      </c>
      <c r="C287" s="13" t="s">
        <v>17</v>
      </c>
      <c r="D287" s="13" t="s">
        <v>18</v>
      </c>
      <c r="E287" s="5" t="s">
        <v>685</v>
      </c>
      <c r="F287" s="5" t="s">
        <v>40</v>
      </c>
      <c r="G287" s="5" t="s">
        <v>21</v>
      </c>
      <c r="H287" s="5" t="s">
        <v>686</v>
      </c>
      <c r="I287" s="6" t="str">
        <f>HYPERLINK("https://president.jp/ud/pressrelease/60260f3f776561479b250000","URLを開く")</f>
        <v>URLを開く</v>
      </c>
      <c r="J287" s="10" t="s">
        <v>23</v>
      </c>
      <c r="K287" s="10" t="s">
        <v>23</v>
      </c>
    </row>
    <row r="288" spans="1:11">
      <c r="A288" s="7" t="s">
        <v>684</v>
      </c>
      <c r="B288" s="7" t="s">
        <v>345</v>
      </c>
      <c r="C288" s="13" t="s">
        <v>17</v>
      </c>
      <c r="D288" s="13" t="s">
        <v>18</v>
      </c>
      <c r="E288" s="5" t="s">
        <v>687</v>
      </c>
      <c r="F288" s="5" t="s">
        <v>65</v>
      </c>
      <c r="G288" s="5" t="s">
        <v>21</v>
      </c>
      <c r="H288" s="5" t="s">
        <v>688</v>
      </c>
      <c r="I288" s="6" t="str">
        <f>HYPERLINK("https://president.jp/ud/pressrelease/602663967765619952030000","URLを開く")</f>
        <v>URLを開く</v>
      </c>
      <c r="J288" s="10" t="s">
        <v>23</v>
      </c>
      <c r="K288" s="10" t="s">
        <v>23</v>
      </c>
    </row>
    <row r="289" spans="1:11">
      <c r="A289" s="7" t="s">
        <v>684</v>
      </c>
      <c r="B289" s="7" t="s">
        <v>345</v>
      </c>
      <c r="C289" s="13" t="s">
        <v>17</v>
      </c>
      <c r="D289" s="13" t="s">
        <v>18</v>
      </c>
      <c r="E289" s="5" t="s">
        <v>689</v>
      </c>
      <c r="F289" s="5" t="s">
        <v>65</v>
      </c>
      <c r="G289" s="5" t="s">
        <v>21</v>
      </c>
      <c r="H289" s="5" t="s">
        <v>690</v>
      </c>
      <c r="I289" s="6" t="str">
        <f>HYPERLINK("https://president.jp/ud/pressrelease/60262b677765618bc94e0000","URLを開く")</f>
        <v>URLを開く</v>
      </c>
      <c r="J289" s="10" t="s">
        <v>23</v>
      </c>
      <c r="K289" s="10" t="s">
        <v>23</v>
      </c>
    </row>
    <row r="290" spans="1:11">
      <c r="A290" s="7" t="s">
        <v>684</v>
      </c>
      <c r="B290" s="7" t="s">
        <v>345</v>
      </c>
      <c r="C290" s="13" t="s">
        <v>691</v>
      </c>
      <c r="D290" s="13" t="s">
        <v>692</v>
      </c>
      <c r="E290" s="5" t="s">
        <v>693</v>
      </c>
      <c r="F290" s="5" t="s">
        <v>65</v>
      </c>
      <c r="G290" s="5" t="s">
        <v>27</v>
      </c>
      <c r="H290" s="5" t="s">
        <v>694</v>
      </c>
      <c r="I290" s="6" t="str">
        <f>HYPERLINK("https://www.enjoytokyo.jp/shopping/event/1611452/","URLを開く")</f>
        <v>URLを開く</v>
      </c>
      <c r="J290" s="10" t="s">
        <v>23</v>
      </c>
      <c r="K290" s="10" t="s">
        <v>23</v>
      </c>
    </row>
    <row r="291" spans="1:11">
      <c r="A291" s="7" t="s">
        <v>684</v>
      </c>
      <c r="B291" s="7" t="s">
        <v>345</v>
      </c>
      <c r="C291" s="13" t="s">
        <v>190</v>
      </c>
      <c r="D291" s="13" t="s">
        <v>129</v>
      </c>
      <c r="E291" s="5" t="s">
        <v>695</v>
      </c>
      <c r="F291" s="5" t="s">
        <v>65</v>
      </c>
      <c r="G291" s="5" t="s">
        <v>21</v>
      </c>
      <c r="H291" s="5" t="s">
        <v>696</v>
      </c>
      <c r="I291" s="6" t="str">
        <f>HYPERLINK("https://dime.jp/company_news/detail/?pr=772742","URLを開く")</f>
        <v>URLを開く</v>
      </c>
      <c r="J291" s="10" t="s">
        <v>23</v>
      </c>
      <c r="K291" s="10" t="s">
        <v>23</v>
      </c>
    </row>
    <row r="292" spans="1:11">
      <c r="A292" s="7" t="s">
        <v>684</v>
      </c>
      <c r="B292" s="7" t="s">
        <v>345</v>
      </c>
      <c r="C292" s="13" t="s">
        <v>193</v>
      </c>
      <c r="D292" s="13" t="s">
        <v>100</v>
      </c>
      <c r="E292" s="5" t="s">
        <v>695</v>
      </c>
      <c r="F292" s="5" t="s">
        <v>65</v>
      </c>
      <c r="G292" s="5" t="s">
        <v>21</v>
      </c>
      <c r="H292" s="5" t="s">
        <v>697</v>
      </c>
      <c r="I292" s="6" t="str">
        <f>HYPERLINK("https://business.nifty.com/cs/catalog/business_release/catalog_prt000000001000074171_1.htm","URLを開く")</f>
        <v>URLを開く</v>
      </c>
      <c r="J292" s="10" t="s">
        <v>23</v>
      </c>
      <c r="K292" s="10" t="s">
        <v>23</v>
      </c>
    </row>
    <row r="293" spans="1:11">
      <c r="A293" s="7" t="s">
        <v>684</v>
      </c>
      <c r="B293" s="7" t="s">
        <v>345</v>
      </c>
      <c r="C293" s="13" t="s">
        <v>195</v>
      </c>
      <c r="D293" s="13" t="s">
        <v>196</v>
      </c>
      <c r="E293" s="5" t="s">
        <v>695</v>
      </c>
      <c r="F293" s="5" t="s">
        <v>65</v>
      </c>
      <c r="G293" s="5" t="s">
        <v>21</v>
      </c>
      <c r="H293" s="5" t="s">
        <v>698</v>
      </c>
      <c r="I293" s="6" t="str">
        <f>HYPERLINK("https://news.allabout.co.jp/articles/p/000000001.000074171/","URLを開く")</f>
        <v>URLを開く</v>
      </c>
      <c r="J293" s="10" t="s">
        <v>23</v>
      </c>
      <c r="K293" s="10" t="s">
        <v>23</v>
      </c>
    </row>
    <row r="294" spans="1:11">
      <c r="A294" s="7" t="s">
        <v>684</v>
      </c>
      <c r="B294" s="7" t="s">
        <v>345</v>
      </c>
      <c r="C294" s="13" t="s">
        <v>207</v>
      </c>
      <c r="D294" s="13" t="s">
        <v>208</v>
      </c>
      <c r="E294" s="5" t="s">
        <v>695</v>
      </c>
      <c r="F294" s="5" t="s">
        <v>65</v>
      </c>
      <c r="G294" s="5" t="s">
        <v>21</v>
      </c>
      <c r="H294" s="5" t="s">
        <v>699</v>
      </c>
      <c r="I294" s="6" t="str">
        <f>HYPERLINK("https://news.cube-soft.jp/release/729660","URLを開く")</f>
        <v>URLを開く</v>
      </c>
      <c r="J294" s="10" t="s">
        <v>23</v>
      </c>
      <c r="K294" s="10" t="s">
        <v>23</v>
      </c>
    </row>
    <row r="295" spans="1:11">
      <c r="A295" s="7" t="s">
        <v>684</v>
      </c>
      <c r="B295" s="7" t="s">
        <v>345</v>
      </c>
      <c r="C295" s="13" t="s">
        <v>103</v>
      </c>
      <c r="D295" s="13" t="s">
        <v>104</v>
      </c>
      <c r="E295" s="5" t="s">
        <v>695</v>
      </c>
      <c r="F295" s="5" t="s">
        <v>65</v>
      </c>
      <c r="G295" s="5" t="s">
        <v>33</v>
      </c>
      <c r="H295" s="5" t="s">
        <v>700</v>
      </c>
      <c r="I295" s="6" t="str">
        <f>HYPERLINK("https://www.excite.co.jp/news/article/Prtimes_2021-02-12-74171-1/","URLを開く")</f>
        <v>URLを開く</v>
      </c>
      <c r="J295" s="10" t="s">
        <v>23</v>
      </c>
      <c r="K295" s="10" t="s">
        <v>23</v>
      </c>
    </row>
    <row r="296" spans="1:11">
      <c r="A296" s="7" t="s">
        <v>684</v>
      </c>
      <c r="B296" s="7" t="s">
        <v>345</v>
      </c>
      <c r="C296" s="13" t="s">
        <v>109</v>
      </c>
      <c r="D296" s="13" t="s">
        <v>110</v>
      </c>
      <c r="E296" s="5" t="s">
        <v>695</v>
      </c>
      <c r="F296" s="5" t="s">
        <v>65</v>
      </c>
      <c r="G296" s="5" t="s">
        <v>21</v>
      </c>
      <c r="H296" s="5" t="s">
        <v>701</v>
      </c>
      <c r="I296" s="6" t="str">
        <f>HYPERLINK("https://news.infoseek.co.jp/article/prtimes_000000001_000074171/","URLを開く")</f>
        <v>URLを開く</v>
      </c>
      <c r="J296" s="10" t="s">
        <v>23</v>
      </c>
      <c r="K296" s="10" t="s">
        <v>23</v>
      </c>
    </row>
    <row r="297" spans="1:11">
      <c r="A297" s="7" t="s">
        <v>684</v>
      </c>
      <c r="B297" s="7" t="s">
        <v>345</v>
      </c>
      <c r="C297" s="13" t="s">
        <v>95</v>
      </c>
      <c r="D297" s="13" t="s">
        <v>96</v>
      </c>
      <c r="E297" s="5" t="s">
        <v>695</v>
      </c>
      <c r="F297" s="5" t="s">
        <v>65</v>
      </c>
      <c r="G297" s="5" t="s">
        <v>21</v>
      </c>
      <c r="H297" s="5" t="s">
        <v>702</v>
      </c>
      <c r="I297" s="6" t="str">
        <f>HYPERLINK("https://www.mapion.co.jp/news/release/000000001.000074171-all/","URLを開く")</f>
        <v>URLを開く</v>
      </c>
      <c r="J297" s="10" t="s">
        <v>23</v>
      </c>
      <c r="K297" s="10" t="s">
        <v>23</v>
      </c>
    </row>
    <row r="298" spans="1:11">
      <c r="A298" s="7" t="s">
        <v>684</v>
      </c>
      <c r="B298" s="7" t="s">
        <v>345</v>
      </c>
      <c r="C298" s="13" t="s">
        <v>217</v>
      </c>
      <c r="D298" s="13" t="s">
        <v>218</v>
      </c>
      <c r="E298" s="5" t="s">
        <v>695</v>
      </c>
      <c r="F298" s="5" t="s">
        <v>65</v>
      </c>
      <c r="G298" s="5" t="s">
        <v>21</v>
      </c>
      <c r="H298" s="5" t="s">
        <v>703</v>
      </c>
      <c r="I298" s="6" t="str">
        <f>HYPERLINK("https://www.newscafe.ne.jp/release/prtimes2/20210212/641508.html","URLを開く")</f>
        <v>URLを開く</v>
      </c>
      <c r="J298" s="10" t="s">
        <v>23</v>
      </c>
      <c r="K298" s="10" t="s">
        <v>23</v>
      </c>
    </row>
    <row r="299" spans="1:11">
      <c r="A299" s="7" t="s">
        <v>684</v>
      </c>
      <c r="B299" s="7" t="s">
        <v>345</v>
      </c>
      <c r="C299" s="13" t="s">
        <v>620</v>
      </c>
      <c r="D299" s="13" t="s">
        <v>621</v>
      </c>
      <c r="E299" s="5" t="s">
        <v>695</v>
      </c>
      <c r="F299" s="5" t="s">
        <v>65</v>
      </c>
      <c r="G299" s="5" t="s">
        <v>21</v>
      </c>
      <c r="H299" s="5" t="s">
        <v>704</v>
      </c>
      <c r="I299" s="6" t="str">
        <f>HYPERLINK("https://prtimes.jp/main/html/rd/p/000000001.000074171.html","URLを開く")</f>
        <v>URLを開く</v>
      </c>
      <c r="J299" s="10" t="s">
        <v>23</v>
      </c>
      <c r="K299" s="10" t="s">
        <v>23</v>
      </c>
    </row>
    <row r="300" spans="1:11">
      <c r="A300" s="7" t="s">
        <v>684</v>
      </c>
      <c r="B300" s="7" t="s">
        <v>345</v>
      </c>
      <c r="C300" s="13" t="s">
        <v>223</v>
      </c>
      <c r="D300" s="13" t="s">
        <v>224</v>
      </c>
      <c r="E300" s="5" t="s">
        <v>695</v>
      </c>
      <c r="F300" s="5" t="s">
        <v>65</v>
      </c>
      <c r="G300" s="5" t="s">
        <v>21</v>
      </c>
      <c r="H300" s="5" t="s">
        <v>705</v>
      </c>
      <c r="I300" s="6" t="str">
        <f>HYPERLINK("https://straightpress.jp/company_news/detail?pr=000000001.000074171","URLを開く")</f>
        <v>URLを開く</v>
      </c>
      <c r="J300" s="10" t="s">
        <v>23</v>
      </c>
      <c r="K300" s="10" t="s">
        <v>23</v>
      </c>
    </row>
    <row r="301" spans="1:11">
      <c r="A301" s="7" t="s">
        <v>684</v>
      </c>
      <c r="B301" s="7" t="s">
        <v>345</v>
      </c>
      <c r="C301" s="13" t="s">
        <v>706</v>
      </c>
      <c r="D301" s="13" t="s">
        <v>224</v>
      </c>
      <c r="E301" s="5" t="s">
        <v>695</v>
      </c>
      <c r="F301" s="5" t="s">
        <v>65</v>
      </c>
      <c r="G301" s="5" t="s">
        <v>21</v>
      </c>
      <c r="H301" s="5" t="s">
        <v>707</v>
      </c>
      <c r="I301" s="6" t="str">
        <f>HYPERLINK("https://techable.jp/archives/000000001.000074171","URLを開く")</f>
        <v>URLを開く</v>
      </c>
      <c r="J301" s="10" t="s">
        <v>23</v>
      </c>
      <c r="K301" s="10" t="s">
        <v>23</v>
      </c>
    </row>
    <row r="302" spans="1:11">
      <c r="A302" s="7" t="s">
        <v>684</v>
      </c>
      <c r="B302" s="7" t="s">
        <v>345</v>
      </c>
      <c r="C302" s="13" t="s">
        <v>623</v>
      </c>
      <c r="D302" s="13" t="s">
        <v>23</v>
      </c>
      <c r="E302" s="5" t="s">
        <v>695</v>
      </c>
      <c r="F302" s="5" t="s">
        <v>65</v>
      </c>
      <c r="G302" s="5" t="s">
        <v>21</v>
      </c>
      <c r="H302" s="5" t="s">
        <v>708</v>
      </c>
      <c r="I302" s="6" t="str">
        <f>HYPERLINK("https://wmr.tokyo/entertainment/2021/02/519947/","URLを開く")</f>
        <v>URLを開く</v>
      </c>
      <c r="J302" s="10" t="s">
        <v>23</v>
      </c>
      <c r="K302" s="10" t="s">
        <v>23</v>
      </c>
    </row>
    <row r="303" spans="1:11">
      <c r="A303" s="7" t="s">
        <v>684</v>
      </c>
      <c r="B303" s="7" t="s">
        <v>345</v>
      </c>
      <c r="C303" s="13" t="s">
        <v>229</v>
      </c>
      <c r="D303" s="13" t="s">
        <v>230</v>
      </c>
      <c r="E303" s="5" t="s">
        <v>695</v>
      </c>
      <c r="F303" s="5" t="s">
        <v>65</v>
      </c>
      <c r="G303" s="5" t="s">
        <v>27</v>
      </c>
      <c r="H303" s="5" t="s">
        <v>709</v>
      </c>
      <c r="I303" s="6" t="str">
        <f>HYPERLINK("https://ure.pia.co.jp/articles/-/953087","URLを開く")</f>
        <v>URLを開く</v>
      </c>
      <c r="J303" s="10" t="s">
        <v>23</v>
      </c>
      <c r="K303" s="10" t="s">
        <v>23</v>
      </c>
    </row>
    <row r="304" spans="1:11">
      <c r="A304" s="7" t="s">
        <v>684</v>
      </c>
      <c r="B304" s="7" t="s">
        <v>345</v>
      </c>
      <c r="C304" s="13" t="s">
        <v>232</v>
      </c>
      <c r="D304" s="13" t="s">
        <v>233</v>
      </c>
      <c r="E304" s="5" t="s">
        <v>695</v>
      </c>
      <c r="F304" s="5" t="s">
        <v>65</v>
      </c>
      <c r="G304" s="5" t="s">
        <v>27</v>
      </c>
      <c r="H304" s="5" t="s">
        <v>710</v>
      </c>
      <c r="I304" s="6" t="str">
        <f>HYPERLINK("https://news.jorudan.co.jp/docs/news/detail.cgi?newsid=PT000001A000074171","URLを開く")</f>
        <v>URLを開く</v>
      </c>
      <c r="J304" s="10" t="s">
        <v>23</v>
      </c>
      <c r="K304" s="10" t="s">
        <v>23</v>
      </c>
    </row>
    <row r="305" spans="1:11">
      <c r="A305" s="7" t="s">
        <v>684</v>
      </c>
      <c r="B305" s="7" t="s">
        <v>345</v>
      </c>
      <c r="C305" s="13" t="s">
        <v>711</v>
      </c>
      <c r="D305" s="13" t="s">
        <v>712</v>
      </c>
      <c r="E305" s="5" t="s">
        <v>695</v>
      </c>
      <c r="F305" s="5" t="s">
        <v>65</v>
      </c>
      <c r="G305" s="5" t="s">
        <v>27</v>
      </c>
      <c r="H305" s="5" t="s">
        <v>713</v>
      </c>
      <c r="I305" s="6" t="str">
        <f>HYPERLINK("https://ddnavi.com/publisher-release/738317/a/","URLを開く")</f>
        <v>URLを開く</v>
      </c>
      <c r="J305" s="10" t="s">
        <v>23</v>
      </c>
      <c r="K305" s="10" t="s">
        <v>23</v>
      </c>
    </row>
    <row r="306" spans="1:11">
      <c r="A306" s="7" t="s">
        <v>684</v>
      </c>
      <c r="B306" s="7" t="s">
        <v>345</v>
      </c>
      <c r="C306" s="13" t="s">
        <v>235</v>
      </c>
      <c r="D306" s="13" t="s">
        <v>236</v>
      </c>
      <c r="E306" s="5" t="s">
        <v>695</v>
      </c>
      <c r="F306" s="5" t="s">
        <v>65</v>
      </c>
      <c r="G306" s="5" t="s">
        <v>21</v>
      </c>
      <c r="H306" s="5" t="s">
        <v>714</v>
      </c>
      <c r="I306" s="6" t="str">
        <f>HYPERLINK("https://news.toremaga.com/release/others/1779845.html","URLを開く")</f>
        <v>URLを開く</v>
      </c>
      <c r="J306" s="10" t="s">
        <v>23</v>
      </c>
      <c r="K306" s="10" t="s">
        <v>23</v>
      </c>
    </row>
    <row r="307" spans="1:11">
      <c r="A307" s="7" t="s">
        <v>684</v>
      </c>
      <c r="B307" s="7" t="s">
        <v>345</v>
      </c>
      <c r="C307" s="13" t="s">
        <v>238</v>
      </c>
      <c r="D307" s="13" t="s">
        <v>239</v>
      </c>
      <c r="E307" s="5" t="s">
        <v>695</v>
      </c>
      <c r="F307" s="5" t="s">
        <v>65</v>
      </c>
      <c r="G307" s="5" t="s">
        <v>33</v>
      </c>
      <c r="H307" s="5" t="s">
        <v>715</v>
      </c>
      <c r="I307" s="6" t="str">
        <f>HYPERLINK("https://news.nicovideo.jp/watch/nw8928875","URLを開く")</f>
        <v>URLを開く</v>
      </c>
      <c r="J307" s="10" t="s">
        <v>23</v>
      </c>
      <c r="K307" s="10" t="s">
        <v>23</v>
      </c>
    </row>
    <row r="308" spans="1:11">
      <c r="A308" s="7" t="s">
        <v>684</v>
      </c>
      <c r="B308" s="7" t="s">
        <v>345</v>
      </c>
      <c r="C308" s="13" t="s">
        <v>244</v>
      </c>
      <c r="D308" s="13" t="s">
        <v>160</v>
      </c>
      <c r="E308" s="5" t="s">
        <v>695</v>
      </c>
      <c r="F308" s="5" t="s">
        <v>65</v>
      </c>
      <c r="G308" s="5" t="s">
        <v>21</v>
      </c>
      <c r="H308" s="5" t="s">
        <v>716</v>
      </c>
      <c r="I308" s="6" t="str">
        <f>HYPERLINK("https://www.asahi.com/and_M/pressrelease/pre_23463517/","URLを開く")</f>
        <v>URLを開く</v>
      </c>
      <c r="J308" s="10" t="s">
        <v>23</v>
      </c>
      <c r="K308" s="10" t="s">
        <v>23</v>
      </c>
    </row>
    <row r="309" spans="1:11">
      <c r="A309" s="7" t="s">
        <v>684</v>
      </c>
      <c r="B309" s="7" t="s">
        <v>345</v>
      </c>
      <c r="C309" s="13" t="s">
        <v>255</v>
      </c>
      <c r="D309" s="13" t="s">
        <v>256</v>
      </c>
      <c r="E309" s="5" t="s">
        <v>695</v>
      </c>
      <c r="F309" s="5" t="s">
        <v>65</v>
      </c>
      <c r="G309" s="5" t="s">
        <v>21</v>
      </c>
      <c r="H309" s="5" t="s">
        <v>717</v>
      </c>
      <c r="I309" s="6" t="str">
        <f>HYPERLINK("https://www.zaikei.co.jp/releases/1216656/","URLを開く")</f>
        <v>URLを開く</v>
      </c>
      <c r="J309" s="10" t="s">
        <v>23</v>
      </c>
      <c r="K309" s="10" t="s">
        <v>23</v>
      </c>
    </row>
    <row r="310" spans="1:11">
      <c r="A310" s="7" t="s">
        <v>684</v>
      </c>
      <c r="B310" s="7" t="s">
        <v>345</v>
      </c>
      <c r="C310" s="13" t="s">
        <v>718</v>
      </c>
      <c r="D310" s="13" t="s">
        <v>479</v>
      </c>
      <c r="E310" s="5" t="s">
        <v>719</v>
      </c>
      <c r="F310" s="5" t="s">
        <v>88</v>
      </c>
      <c r="G310" s="5" t="s">
        <v>27</v>
      </c>
      <c r="H310" s="5" t="s">
        <v>720</v>
      </c>
      <c r="I310" s="6" t="str">
        <f>HYPERLINK("https://www.elle.com/jp/fashion/fashion-column/a35425962/applewatch-fashionista20216uy/","URLを開く")</f>
        <v>URLを開く</v>
      </c>
      <c r="J310" s="10" t="s">
        <v>23</v>
      </c>
      <c r="K310" s="10" t="s">
        <v>23</v>
      </c>
    </row>
    <row r="311" spans="1:11">
      <c r="A311" s="7" t="s">
        <v>684</v>
      </c>
      <c r="B311" s="7" t="s">
        <v>345</v>
      </c>
      <c r="C311" s="13" t="s">
        <v>42</v>
      </c>
      <c r="D311" s="13" t="s">
        <v>43</v>
      </c>
      <c r="E311" s="5" t="s">
        <v>721</v>
      </c>
      <c r="F311" s="5" t="s">
        <v>65</v>
      </c>
      <c r="G311" s="5" t="s">
        <v>33</v>
      </c>
      <c r="H311" s="5" t="s">
        <v>722</v>
      </c>
      <c r="I311" s="6" t="str">
        <f>HYPERLINK("https://news.line.me/articles/oa-rp82321/2e9bc9f21264","URLを開く")</f>
        <v>URLを開く</v>
      </c>
      <c r="J311" s="10" t="s">
        <v>23</v>
      </c>
      <c r="K311" s="10" t="s">
        <v>23</v>
      </c>
    </row>
    <row r="312" spans="1:11">
      <c r="A312" s="7" t="s">
        <v>684</v>
      </c>
      <c r="B312" s="7" t="s">
        <v>345</v>
      </c>
      <c r="C312" s="13" t="s">
        <v>279</v>
      </c>
      <c r="D312" s="13" t="s">
        <v>43</v>
      </c>
      <c r="E312" s="5" t="s">
        <v>721</v>
      </c>
      <c r="F312" s="5" t="s">
        <v>65</v>
      </c>
      <c r="G312" s="5" t="s">
        <v>33</v>
      </c>
      <c r="H312" s="5" t="s">
        <v>723</v>
      </c>
      <c r="I312" s="6" t="str">
        <f>HYPERLINK("https://news.livedoor.com/article/detail/19686717/","URLを開く")</f>
        <v>URLを開く</v>
      </c>
      <c r="J312" s="10" t="s">
        <v>23</v>
      </c>
      <c r="K312" s="10" t="s">
        <v>23</v>
      </c>
    </row>
    <row r="313" spans="1:11">
      <c r="A313" s="7" t="s">
        <v>684</v>
      </c>
      <c r="B313" s="7" t="s">
        <v>345</v>
      </c>
      <c r="C313" s="13" t="s">
        <v>724</v>
      </c>
      <c r="D313" s="13" t="s">
        <v>725</v>
      </c>
      <c r="E313" s="5" t="s">
        <v>721</v>
      </c>
      <c r="F313" s="5" t="s">
        <v>65</v>
      </c>
      <c r="G313" s="5" t="s">
        <v>27</v>
      </c>
      <c r="H313" s="5" t="s">
        <v>726</v>
      </c>
      <c r="I313" s="6" t="str">
        <f>HYPERLINK("https://qoly.jp/2021/02/12/north-carolina-courage-2021-nike-home-away-kit-lfb-1","URLを開く")</f>
        <v>URLを開く</v>
      </c>
      <c r="J313" s="10" t="s">
        <v>23</v>
      </c>
      <c r="K313" s="10" t="s">
        <v>23</v>
      </c>
    </row>
    <row r="314" spans="1:11">
      <c r="A314" s="7" t="s">
        <v>684</v>
      </c>
      <c r="B314" s="7" t="s">
        <v>345</v>
      </c>
      <c r="C314" s="13" t="s">
        <v>162</v>
      </c>
      <c r="D314" s="13" t="s">
        <v>163</v>
      </c>
      <c r="E314" s="5" t="s">
        <v>721</v>
      </c>
      <c r="F314" s="5" t="s">
        <v>65</v>
      </c>
      <c r="G314" s="5" t="s">
        <v>33</v>
      </c>
      <c r="H314" s="5" t="s">
        <v>727</v>
      </c>
      <c r="I314" s="6" t="str">
        <f>HYPERLINK("https://gunosy.com/articles/ete76","URLを開く")</f>
        <v>URLを開く</v>
      </c>
      <c r="J314" s="10" t="s">
        <v>23</v>
      </c>
      <c r="K314" s="10" t="s">
        <v>23</v>
      </c>
    </row>
    <row r="315" spans="1:11">
      <c r="A315" s="7" t="s">
        <v>684</v>
      </c>
      <c r="B315" s="7" t="s">
        <v>345</v>
      </c>
      <c r="C315" s="13" t="s">
        <v>42</v>
      </c>
      <c r="D315" s="13" t="s">
        <v>43</v>
      </c>
      <c r="E315" s="5" t="s">
        <v>728</v>
      </c>
      <c r="F315" s="5" t="s">
        <v>65</v>
      </c>
      <c r="G315" s="5" t="s">
        <v>33</v>
      </c>
      <c r="H315" s="5" t="s">
        <v>729</v>
      </c>
      <c r="I315" s="6" t="str">
        <f>HYPERLINK("https://news.line.me/issue/oa-president/6fmiwhwarfjs","URLを開く")</f>
        <v>URLを開く</v>
      </c>
      <c r="J315" s="10" t="s">
        <v>23</v>
      </c>
      <c r="K315" s="10" t="s">
        <v>23</v>
      </c>
    </row>
    <row r="316" spans="1:11">
      <c r="A316" s="7" t="s">
        <v>684</v>
      </c>
      <c r="B316" s="7" t="s">
        <v>345</v>
      </c>
      <c r="C316" s="13" t="s">
        <v>50</v>
      </c>
      <c r="D316" s="13" t="s">
        <v>51</v>
      </c>
      <c r="E316" s="5" t="s">
        <v>730</v>
      </c>
      <c r="F316" s="5" t="s">
        <v>188</v>
      </c>
      <c r="G316" s="5" t="s">
        <v>33</v>
      </c>
      <c r="H316" s="5" t="s">
        <v>731</v>
      </c>
      <c r="I316" s="6" t="str">
        <f>HYPERLINK("https://news.yahoo.co.jp/articles/9453221b4099e1bede492be627230561ab70919e","URLを開く")</f>
        <v>URLを開く</v>
      </c>
      <c r="J316" s="10" t="s">
        <v>23</v>
      </c>
      <c r="K316" s="10" t="s">
        <v>23</v>
      </c>
    </row>
    <row r="317" spans="1:11">
      <c r="A317" s="7" t="s">
        <v>684</v>
      </c>
      <c r="B317" s="7" t="s">
        <v>345</v>
      </c>
      <c r="C317" s="13" t="s">
        <v>462</v>
      </c>
      <c r="D317" s="13" t="s">
        <v>462</v>
      </c>
      <c r="E317" s="5" t="s">
        <v>730</v>
      </c>
      <c r="F317" s="5" t="s">
        <v>188</v>
      </c>
      <c r="G317" s="5" t="s">
        <v>33</v>
      </c>
      <c r="H317" s="5" t="s">
        <v>732</v>
      </c>
      <c r="I317" s="6" t="str">
        <f>HYPERLINK("https://finance.yahoo.co.jp/news/detail/20210212-00261771-diamond-column","URLを開く")</f>
        <v>URLを開く</v>
      </c>
      <c r="J317" s="10" t="s">
        <v>23</v>
      </c>
      <c r="K317" s="10" t="s">
        <v>23</v>
      </c>
    </row>
    <row r="318" spans="1:11">
      <c r="A318" s="7" t="s">
        <v>684</v>
      </c>
      <c r="B318" s="7" t="s">
        <v>345</v>
      </c>
      <c r="C318" s="13" t="s">
        <v>733</v>
      </c>
      <c r="D318" s="13" t="s">
        <v>734</v>
      </c>
      <c r="E318" s="5" t="s">
        <v>730</v>
      </c>
      <c r="F318" s="5" t="s">
        <v>188</v>
      </c>
      <c r="G318" s="5" t="s">
        <v>27</v>
      </c>
      <c r="H318" s="5" t="s">
        <v>735</v>
      </c>
      <c r="I318" s="6" t="str">
        <f>HYPERLINK("https://diamond.jp/articles/-/261771","URLを開く")</f>
        <v>URLを開く</v>
      </c>
      <c r="J318" s="10" t="s">
        <v>29</v>
      </c>
      <c r="K318" s="10" t="s">
        <v>23</v>
      </c>
    </row>
    <row r="319" spans="1:11">
      <c r="A319" s="7" t="s">
        <v>684</v>
      </c>
      <c r="B319" s="7" t="s">
        <v>345</v>
      </c>
      <c r="C319" s="13" t="s">
        <v>409</v>
      </c>
      <c r="D319" s="13" t="s">
        <v>410</v>
      </c>
      <c r="E319" s="5" t="s">
        <v>736</v>
      </c>
      <c r="F319" s="5" t="s">
        <v>88</v>
      </c>
      <c r="G319" s="5" t="s">
        <v>27</v>
      </c>
      <c r="H319" s="5" t="s">
        <v>737</v>
      </c>
      <c r="I319" s="6" t="str">
        <f>HYPERLINK("https://snkrdunk.com/articles/10218/","URLを開く")</f>
        <v>URLを開く</v>
      </c>
      <c r="J319" s="10" t="s">
        <v>23</v>
      </c>
      <c r="K319" s="10" t="s">
        <v>23</v>
      </c>
    </row>
    <row r="320" spans="1:11">
      <c r="A320" s="7" t="s">
        <v>684</v>
      </c>
      <c r="B320" s="7" t="s">
        <v>345</v>
      </c>
      <c r="C320" s="13" t="s">
        <v>50</v>
      </c>
      <c r="D320" s="13" t="s">
        <v>51</v>
      </c>
      <c r="E320" s="5" t="s">
        <v>738</v>
      </c>
      <c r="F320" s="5" t="s">
        <v>65</v>
      </c>
      <c r="G320" s="5" t="s">
        <v>33</v>
      </c>
      <c r="H320" s="5" t="s">
        <v>739</v>
      </c>
      <c r="I320" s="6" t="str">
        <f>HYPERLINK("https://news.yahoo.co.jp/articles/5c715b0b0d60b5d1c8b60d7b9c44b2533f05a460","URLを開く")</f>
        <v>URLを開く</v>
      </c>
      <c r="J320" s="10" t="s">
        <v>23</v>
      </c>
      <c r="K320" s="10" t="s">
        <v>23</v>
      </c>
    </row>
    <row r="321" spans="1:11">
      <c r="A321" s="7" t="s">
        <v>684</v>
      </c>
      <c r="B321" s="7" t="s">
        <v>345</v>
      </c>
      <c r="C321" s="13" t="s">
        <v>142</v>
      </c>
      <c r="D321" s="13" t="s">
        <v>143</v>
      </c>
      <c r="E321" s="5" t="s">
        <v>740</v>
      </c>
      <c r="F321" s="5" t="s">
        <v>93</v>
      </c>
      <c r="G321" s="5" t="s">
        <v>33</v>
      </c>
      <c r="H321" s="5" t="s">
        <v>741</v>
      </c>
      <c r="I321" s="6" t="str">
        <f>HYPERLINK("https://news.goo.ne.jp/article/saitapuls/life/saitapuls-19550.html","URLを開く")</f>
        <v>URLを開く</v>
      </c>
      <c r="J321" s="10" t="s">
        <v>23</v>
      </c>
      <c r="K321" s="10" t="s">
        <v>23</v>
      </c>
    </row>
    <row r="322" spans="1:11">
      <c r="A322" s="7" t="s">
        <v>684</v>
      </c>
      <c r="B322" s="7" t="s">
        <v>345</v>
      </c>
      <c r="C322" s="13" t="s">
        <v>742</v>
      </c>
      <c r="D322" s="13" t="s">
        <v>743</v>
      </c>
      <c r="E322" s="5" t="s">
        <v>740</v>
      </c>
      <c r="F322" s="5" t="s">
        <v>188</v>
      </c>
      <c r="G322" s="5" t="s">
        <v>27</v>
      </c>
      <c r="H322" s="5" t="s">
        <v>744</v>
      </c>
      <c r="I322" s="6" t="str">
        <f>HYPERLINK("https://saita-puls.com/19550","URLを開く")</f>
        <v>URLを開く</v>
      </c>
      <c r="J322" s="10" t="s">
        <v>23</v>
      </c>
      <c r="K322" s="10" t="s">
        <v>23</v>
      </c>
    </row>
    <row r="323" spans="1:11">
      <c r="A323" s="7" t="s">
        <v>684</v>
      </c>
      <c r="B323" s="7" t="s">
        <v>345</v>
      </c>
      <c r="C323" s="13" t="s">
        <v>146</v>
      </c>
      <c r="D323" s="13" t="s">
        <v>147</v>
      </c>
      <c r="E323" s="5" t="s">
        <v>745</v>
      </c>
      <c r="F323" s="5" t="s">
        <v>93</v>
      </c>
      <c r="G323" s="5" t="s">
        <v>33</v>
      </c>
      <c r="H323" s="5" t="s">
        <v>746</v>
      </c>
      <c r="I323" s="6" t="str">
        <f>HYPERLINK("http://topics.smt.docomo.ne.jp/article/saitapuls/life/saitapuls-19550?fm=latestnews","URLを開く")</f>
        <v>URLを開く</v>
      </c>
      <c r="J323" s="10" t="s">
        <v>23</v>
      </c>
      <c r="K323" s="10" t="s">
        <v>23</v>
      </c>
    </row>
    <row r="324" spans="1:11">
      <c r="A324" s="7" t="s">
        <v>684</v>
      </c>
      <c r="B324" s="7" t="s">
        <v>345</v>
      </c>
      <c r="C324" s="13" t="s">
        <v>747</v>
      </c>
      <c r="D324" s="13" t="s">
        <v>748</v>
      </c>
      <c r="E324" s="5" t="s">
        <v>749</v>
      </c>
      <c r="F324" s="5" t="s">
        <v>88</v>
      </c>
      <c r="G324" s="5" t="s">
        <v>33</v>
      </c>
      <c r="H324" s="5" t="s">
        <v>750</v>
      </c>
      <c r="I324" s="6" t="str">
        <f>HYPERLINK("https://nowtice.net/news/1068179/","URLを開く")</f>
        <v>URLを開く</v>
      </c>
      <c r="J324" s="10" t="s">
        <v>23</v>
      </c>
      <c r="K324" s="10" t="s">
        <v>23</v>
      </c>
    </row>
    <row r="325" spans="1:11">
      <c r="A325" s="7" t="s">
        <v>684</v>
      </c>
      <c r="B325" s="7" t="s">
        <v>345</v>
      </c>
      <c r="C325" s="13" t="s">
        <v>50</v>
      </c>
      <c r="D325" s="13" t="s">
        <v>51</v>
      </c>
      <c r="E325" s="5" t="s">
        <v>751</v>
      </c>
      <c r="F325" s="5" t="s">
        <v>65</v>
      </c>
      <c r="G325" s="5" t="s">
        <v>33</v>
      </c>
      <c r="H325" s="5" t="s">
        <v>752</v>
      </c>
      <c r="I325" s="6" t="str">
        <f>HYPERLINK("https://news.yahoo.co.jp/articles/48ffcb777d53282ed80c3bd2cf9b88ec70a2db10","URLを開く")</f>
        <v>URLを開く</v>
      </c>
      <c r="J325" s="10" t="s">
        <v>23</v>
      </c>
      <c r="K325" s="10" t="s">
        <v>23</v>
      </c>
    </row>
    <row r="326" spans="1:11">
      <c r="A326" s="7" t="s">
        <v>684</v>
      </c>
      <c r="B326" s="7" t="s">
        <v>345</v>
      </c>
      <c r="C326" s="13" t="s">
        <v>42</v>
      </c>
      <c r="D326" s="13" t="s">
        <v>43</v>
      </c>
      <c r="E326" s="5" t="s">
        <v>753</v>
      </c>
      <c r="F326" s="5" t="s">
        <v>65</v>
      </c>
      <c r="G326" s="5" t="s">
        <v>33</v>
      </c>
      <c r="H326" s="5" t="s">
        <v>754</v>
      </c>
      <c r="I326" s="6" t="str">
        <f>HYPERLINK("https://news.line.me/issue/oa-vivi-news/xn4betjioimj","URLを開く")</f>
        <v>URLを開く</v>
      </c>
      <c r="J326" s="10" t="s">
        <v>23</v>
      </c>
      <c r="K326" s="10" t="s">
        <v>23</v>
      </c>
    </row>
    <row r="327" spans="1:11">
      <c r="A327" s="7" t="s">
        <v>684</v>
      </c>
      <c r="B327" s="7" t="s">
        <v>345</v>
      </c>
      <c r="C327" s="13" t="s">
        <v>755</v>
      </c>
      <c r="D327" s="13" t="s">
        <v>756</v>
      </c>
      <c r="E327" s="5" t="s">
        <v>757</v>
      </c>
      <c r="F327" s="5" t="s">
        <v>88</v>
      </c>
      <c r="G327" s="5" t="s">
        <v>33</v>
      </c>
      <c r="H327" s="5" t="s">
        <v>758</v>
      </c>
      <c r="I327" s="6" t="str">
        <f>HYPERLINK("https://dosports.yahoo.co.jp/column/detail/202102120049-spnavido","URLを開く")</f>
        <v>URLを開く</v>
      </c>
      <c r="J327" s="10" t="s">
        <v>23</v>
      </c>
      <c r="K327" s="10" t="s">
        <v>23</v>
      </c>
    </row>
    <row r="328" spans="1:11">
      <c r="A328" s="7" t="s">
        <v>684</v>
      </c>
      <c r="B328" s="7" t="s">
        <v>345</v>
      </c>
      <c r="C328" s="13" t="s">
        <v>759</v>
      </c>
      <c r="D328" s="13" t="s">
        <v>760</v>
      </c>
      <c r="E328" s="5" t="s">
        <v>761</v>
      </c>
      <c r="F328" s="5" t="s">
        <v>20</v>
      </c>
      <c r="G328" s="5" t="s">
        <v>27</v>
      </c>
      <c r="H328" s="5" t="s">
        <v>762</v>
      </c>
      <c r="I328" s="6" t="str">
        <f>HYPERLINK("https://sneakerwars.jp/items/view/13960","URLを開く")</f>
        <v>URLを開く</v>
      </c>
      <c r="J328" s="10" t="s">
        <v>23</v>
      </c>
      <c r="K328" s="10" t="s">
        <v>23</v>
      </c>
    </row>
    <row r="329" spans="1:11">
      <c r="A329" s="7" t="s">
        <v>684</v>
      </c>
      <c r="B329" s="7" t="s">
        <v>345</v>
      </c>
      <c r="C329" s="13" t="s">
        <v>759</v>
      </c>
      <c r="D329" s="13" t="s">
        <v>760</v>
      </c>
      <c r="E329" s="5" t="s">
        <v>763</v>
      </c>
      <c r="F329" s="5" t="s">
        <v>20</v>
      </c>
      <c r="G329" s="5" t="s">
        <v>27</v>
      </c>
      <c r="H329" s="5" t="s">
        <v>764</v>
      </c>
      <c r="I329" s="6" t="str">
        <f>HYPERLINK("https://sneakerwars.jp/items/view/13924","URLを開く")</f>
        <v>URLを開く</v>
      </c>
      <c r="J329" s="10" t="s">
        <v>23</v>
      </c>
      <c r="K329" s="10" t="s">
        <v>23</v>
      </c>
    </row>
    <row r="330" spans="1:11">
      <c r="A330" s="7" t="s">
        <v>684</v>
      </c>
      <c r="B330" s="7" t="s">
        <v>345</v>
      </c>
      <c r="C330" s="13" t="s">
        <v>165</v>
      </c>
      <c r="D330" s="13" t="s">
        <v>166</v>
      </c>
      <c r="E330" s="5" t="s">
        <v>765</v>
      </c>
      <c r="F330" s="5" t="s">
        <v>40</v>
      </c>
      <c r="G330" s="5" t="s">
        <v>33</v>
      </c>
      <c r="H330" s="5" t="s">
        <v>766</v>
      </c>
      <c r="I330" s="6" t="str">
        <f>HYPERLINK("https://trilltrill.jp/articles/1791072","URLを開く")</f>
        <v>URLを開く</v>
      </c>
      <c r="J330" s="10" t="s">
        <v>23</v>
      </c>
      <c r="K330" s="10" t="s">
        <v>23</v>
      </c>
    </row>
    <row r="331" spans="1:11">
      <c r="A331" s="7" t="s">
        <v>684</v>
      </c>
      <c r="B331" s="7" t="s">
        <v>345</v>
      </c>
      <c r="C331" s="13" t="s">
        <v>767</v>
      </c>
      <c r="D331" s="13" t="s">
        <v>479</v>
      </c>
      <c r="E331" s="5" t="s">
        <v>768</v>
      </c>
      <c r="F331" s="5" t="s">
        <v>40</v>
      </c>
      <c r="G331" s="5" t="s">
        <v>27</v>
      </c>
      <c r="H331" s="5" t="s">
        <v>769</v>
      </c>
      <c r="I331" s="6" t="str">
        <f>HYPERLINK("https://ellegirl.jp/wellness/sustainable/g35388706/ellegirluni-didyouknow-21-0212/","URLを開く")</f>
        <v>URLを開く</v>
      </c>
      <c r="J331" s="10" t="s">
        <v>23</v>
      </c>
      <c r="K331" s="10" t="s">
        <v>23</v>
      </c>
    </row>
    <row r="332" spans="1:11">
      <c r="A332" s="7" t="s">
        <v>684</v>
      </c>
      <c r="B332" s="7" t="s">
        <v>345</v>
      </c>
      <c r="C332" s="13" t="s">
        <v>759</v>
      </c>
      <c r="D332" s="13" t="s">
        <v>760</v>
      </c>
      <c r="E332" s="5" t="s">
        <v>770</v>
      </c>
      <c r="F332" s="5" t="s">
        <v>40</v>
      </c>
      <c r="G332" s="5" t="s">
        <v>27</v>
      </c>
      <c r="H332" s="5" t="s">
        <v>771</v>
      </c>
      <c r="I332" s="6" t="str">
        <f>HYPERLINK("https://sneakerwars.jp/items/view/13958","URLを開く")</f>
        <v>URLを開く</v>
      </c>
      <c r="J332" s="10" t="s">
        <v>23</v>
      </c>
      <c r="K332" s="10" t="s">
        <v>23</v>
      </c>
    </row>
    <row r="333" spans="1:11">
      <c r="A333" s="7" t="s">
        <v>684</v>
      </c>
      <c r="B333" s="7" t="s">
        <v>345</v>
      </c>
      <c r="C333" s="13" t="s">
        <v>772</v>
      </c>
      <c r="D333" s="13" t="s">
        <v>773</v>
      </c>
      <c r="E333" s="5" t="s">
        <v>774</v>
      </c>
      <c r="F333" s="5" t="s">
        <v>65</v>
      </c>
      <c r="G333" s="5" t="s">
        <v>27</v>
      </c>
      <c r="H333" s="5" t="s">
        <v>775</v>
      </c>
      <c r="I333" s="6" t="str">
        <f>HYPERLINK("https://sustainablejapan.jp/2021/02/12/cdp-supply-chain-2020-2/59037","URLを開く")</f>
        <v>URLを開く</v>
      </c>
      <c r="J333" s="10" t="s">
        <v>23</v>
      </c>
      <c r="K333" s="10" t="s">
        <v>23</v>
      </c>
    </row>
    <row r="334" spans="1:11">
      <c r="A334" s="7" t="s">
        <v>684</v>
      </c>
      <c r="B334" s="7" t="s">
        <v>345</v>
      </c>
      <c r="C334" s="13" t="s">
        <v>772</v>
      </c>
      <c r="D334" s="13" t="s">
        <v>773</v>
      </c>
      <c r="E334" s="5" t="s">
        <v>776</v>
      </c>
      <c r="F334" s="5" t="s">
        <v>65</v>
      </c>
      <c r="G334" s="5" t="s">
        <v>27</v>
      </c>
      <c r="H334" s="5" t="s">
        <v>777</v>
      </c>
      <c r="I334" s="6" t="str">
        <f>HYPERLINK("https://sustainablejapan.jp/2021/02/12/pri-political-contribution/59053","URLを開く")</f>
        <v>URLを開く</v>
      </c>
      <c r="J334" s="10" t="s">
        <v>23</v>
      </c>
      <c r="K334" s="10" t="s">
        <v>23</v>
      </c>
    </row>
    <row r="335" spans="1:11">
      <c r="A335" s="7" t="s">
        <v>684</v>
      </c>
      <c r="B335" s="7" t="s">
        <v>345</v>
      </c>
      <c r="C335" s="13" t="s">
        <v>103</v>
      </c>
      <c r="D335" s="13" t="s">
        <v>104</v>
      </c>
      <c r="E335" s="5" t="s">
        <v>778</v>
      </c>
      <c r="F335" s="5" t="s">
        <v>88</v>
      </c>
      <c r="G335" s="5" t="s">
        <v>33</v>
      </c>
      <c r="H335" s="5" t="s">
        <v>779</v>
      </c>
      <c r="I335" s="6" t="str">
        <f>HYPERLINK("https://www.excite.co.jp/news/article/Nicheee_2328215/","URLを開く")</f>
        <v>URLを開く</v>
      </c>
      <c r="J335" s="10" t="s">
        <v>23</v>
      </c>
      <c r="K335" s="10" t="s">
        <v>23</v>
      </c>
    </row>
    <row r="336" spans="1:11">
      <c r="A336" s="7" t="s">
        <v>684</v>
      </c>
      <c r="B336" s="7" t="s">
        <v>345</v>
      </c>
      <c r="C336" s="13" t="s">
        <v>279</v>
      </c>
      <c r="D336" s="13" t="s">
        <v>43</v>
      </c>
      <c r="E336" s="5" t="s">
        <v>778</v>
      </c>
      <c r="F336" s="5" t="s">
        <v>88</v>
      </c>
      <c r="G336" s="5" t="s">
        <v>33</v>
      </c>
      <c r="H336" s="5" t="s">
        <v>780</v>
      </c>
      <c r="I336" s="6" t="str">
        <f>HYPERLINK("https://news.livedoor.com/article/detail/19685813/","URLを開く")</f>
        <v>URLを開く</v>
      </c>
      <c r="J336" s="10" t="s">
        <v>23</v>
      </c>
      <c r="K336" s="10" t="s">
        <v>23</v>
      </c>
    </row>
    <row r="337" spans="1:11">
      <c r="A337" s="7" t="s">
        <v>684</v>
      </c>
      <c r="B337" s="7" t="s">
        <v>345</v>
      </c>
      <c r="C337" s="13" t="s">
        <v>781</v>
      </c>
      <c r="D337" s="13" t="s">
        <v>782</v>
      </c>
      <c r="E337" s="5" t="s">
        <v>778</v>
      </c>
      <c r="F337" s="5" t="s">
        <v>88</v>
      </c>
      <c r="G337" s="5" t="s">
        <v>27</v>
      </c>
      <c r="H337" s="5" t="s">
        <v>783</v>
      </c>
      <c r="I337" s="6" t="str">
        <f>HYPERLINK("https://getnews.jp/archives/2939312","URLを開く")</f>
        <v>URLを開く</v>
      </c>
      <c r="J337" s="10" t="s">
        <v>23</v>
      </c>
      <c r="K337" s="10" t="s">
        <v>23</v>
      </c>
    </row>
    <row r="338" spans="1:11">
      <c r="A338" s="7" t="s">
        <v>684</v>
      </c>
      <c r="B338" s="7" t="s">
        <v>345</v>
      </c>
      <c r="C338" s="13" t="s">
        <v>342</v>
      </c>
      <c r="D338" s="13" t="s">
        <v>343</v>
      </c>
      <c r="E338" s="5" t="s">
        <v>778</v>
      </c>
      <c r="F338" s="5" t="s">
        <v>88</v>
      </c>
      <c r="G338" s="5" t="s">
        <v>33</v>
      </c>
      <c r="H338" s="5" t="s">
        <v>784</v>
      </c>
      <c r="I338" s="6" t="str">
        <f>HYPERLINK("https://news.merumo.ne.jp/article/genre/10463644","URLを開く")</f>
        <v>URLを開く</v>
      </c>
      <c r="J338" s="10" t="s">
        <v>23</v>
      </c>
      <c r="K338" s="10" t="s">
        <v>23</v>
      </c>
    </row>
    <row r="339" spans="1:11">
      <c r="A339" s="7" t="s">
        <v>684</v>
      </c>
      <c r="B339" s="7" t="s">
        <v>345</v>
      </c>
      <c r="C339" s="13" t="s">
        <v>785</v>
      </c>
      <c r="D339" s="13" t="s">
        <v>786</v>
      </c>
      <c r="E339" s="5" t="s">
        <v>787</v>
      </c>
      <c r="F339" s="5" t="s">
        <v>88</v>
      </c>
      <c r="G339" s="5" t="s">
        <v>27</v>
      </c>
      <c r="H339" s="5" t="s">
        <v>788</v>
      </c>
      <c r="I339" s="6" t="str">
        <f>HYPERLINK("http://www.nicheee.com/archives/2328215.html","URLを開く")</f>
        <v>URLを開く</v>
      </c>
      <c r="J339" s="10" t="s">
        <v>23</v>
      </c>
      <c r="K339" s="10" t="s">
        <v>23</v>
      </c>
    </row>
    <row r="340" spans="1:11">
      <c r="A340" s="7" t="s">
        <v>684</v>
      </c>
      <c r="B340" s="7" t="s">
        <v>345</v>
      </c>
      <c r="C340" s="13" t="s">
        <v>190</v>
      </c>
      <c r="D340" s="13" t="s">
        <v>129</v>
      </c>
      <c r="E340" s="5" t="s">
        <v>407</v>
      </c>
      <c r="F340" s="5" t="s">
        <v>40</v>
      </c>
      <c r="G340" s="5" t="s">
        <v>21</v>
      </c>
      <c r="H340" s="5" t="s">
        <v>789</v>
      </c>
      <c r="I340" s="6" t="str">
        <f>HYPERLINK("https://dime.jp/company_news/detail/?pr=772565","URLを開く")</f>
        <v>URLを開く</v>
      </c>
      <c r="J340" s="10" t="s">
        <v>23</v>
      </c>
      <c r="K340" s="10" t="s">
        <v>23</v>
      </c>
    </row>
    <row r="341" spans="1:11">
      <c r="A341" s="7" t="s">
        <v>684</v>
      </c>
      <c r="B341" s="7" t="s">
        <v>345</v>
      </c>
      <c r="C341" s="13" t="s">
        <v>193</v>
      </c>
      <c r="D341" s="13" t="s">
        <v>100</v>
      </c>
      <c r="E341" s="5" t="s">
        <v>407</v>
      </c>
      <c r="F341" s="5" t="s">
        <v>40</v>
      </c>
      <c r="G341" s="5" t="s">
        <v>21</v>
      </c>
      <c r="H341" s="5" t="s">
        <v>790</v>
      </c>
      <c r="I341" s="6" t="str">
        <f>HYPERLINK("https://business.nifty.com/cs/catalog/business_release/catalog_prt000000058000059271_1.htm","URLを開く")</f>
        <v>URLを開く</v>
      </c>
      <c r="J341" s="10" t="s">
        <v>23</v>
      </c>
      <c r="K341" s="10" t="s">
        <v>23</v>
      </c>
    </row>
    <row r="342" spans="1:11">
      <c r="A342" s="7" t="s">
        <v>684</v>
      </c>
      <c r="B342" s="7" t="s">
        <v>345</v>
      </c>
      <c r="C342" s="13" t="s">
        <v>195</v>
      </c>
      <c r="D342" s="13" t="s">
        <v>196</v>
      </c>
      <c r="E342" s="5" t="s">
        <v>407</v>
      </c>
      <c r="F342" s="5" t="s">
        <v>40</v>
      </c>
      <c r="G342" s="5" t="s">
        <v>21</v>
      </c>
      <c r="H342" s="5" t="s">
        <v>791</v>
      </c>
      <c r="I342" s="6" t="str">
        <f>HYPERLINK("https://news.allabout.co.jp/articles/p/000000058.000059271/","URLを開く")</f>
        <v>URLを開く</v>
      </c>
      <c r="J342" s="10" t="s">
        <v>23</v>
      </c>
      <c r="K342" s="10" t="s">
        <v>23</v>
      </c>
    </row>
    <row r="343" spans="1:11">
      <c r="A343" s="7" t="s">
        <v>684</v>
      </c>
      <c r="B343" s="7" t="s">
        <v>345</v>
      </c>
      <c r="C343" s="13" t="s">
        <v>201</v>
      </c>
      <c r="D343" s="13" t="s">
        <v>202</v>
      </c>
      <c r="E343" s="5" t="s">
        <v>407</v>
      </c>
      <c r="F343" s="5" t="s">
        <v>40</v>
      </c>
      <c r="G343" s="5" t="s">
        <v>21</v>
      </c>
      <c r="H343" s="5" t="s">
        <v>792</v>
      </c>
      <c r="I343" s="6" t="str">
        <f>HYPERLINK("https://news.biglobe.ne.jp/economy/0212/prt_210212_9445139996.html","URLを開く")</f>
        <v>URLを開く</v>
      </c>
      <c r="J343" s="10" t="s">
        <v>23</v>
      </c>
      <c r="K343" s="10" t="s">
        <v>23</v>
      </c>
    </row>
    <row r="344" spans="1:11">
      <c r="A344" s="7" t="s">
        <v>684</v>
      </c>
      <c r="B344" s="7" t="s">
        <v>345</v>
      </c>
      <c r="C344" s="13" t="s">
        <v>204</v>
      </c>
      <c r="D344" s="13" t="s">
        <v>205</v>
      </c>
      <c r="E344" s="5" t="s">
        <v>407</v>
      </c>
      <c r="F344" s="5" t="s">
        <v>40</v>
      </c>
      <c r="G344" s="5" t="s">
        <v>21</v>
      </c>
      <c r="H344" s="5" t="s">
        <v>793</v>
      </c>
      <c r="I344" s="6" t="str">
        <f>HYPERLINK("https://b2b-ch.infomart.co.jp/news/detail.page?IMNEWS4=2402285","URLを開く")</f>
        <v>URLを開く</v>
      </c>
      <c r="J344" s="10" t="s">
        <v>23</v>
      </c>
      <c r="K344" s="10" t="s">
        <v>23</v>
      </c>
    </row>
    <row r="345" spans="1:11">
      <c r="A345" s="7" t="s">
        <v>684</v>
      </c>
      <c r="B345" s="7" t="s">
        <v>345</v>
      </c>
      <c r="C345" s="13" t="s">
        <v>207</v>
      </c>
      <c r="D345" s="13" t="s">
        <v>208</v>
      </c>
      <c r="E345" s="5" t="s">
        <v>407</v>
      </c>
      <c r="F345" s="5" t="s">
        <v>40</v>
      </c>
      <c r="G345" s="5" t="s">
        <v>21</v>
      </c>
      <c r="H345" s="5" t="s">
        <v>794</v>
      </c>
      <c r="I345" s="6" t="str">
        <f>HYPERLINK("https://news.cube-soft.jp/release/729533","URLを開く")</f>
        <v>URLを開く</v>
      </c>
      <c r="J345" s="10" t="s">
        <v>23</v>
      </c>
      <c r="K345" s="10" t="s">
        <v>23</v>
      </c>
    </row>
    <row r="346" spans="1:11">
      <c r="A346" s="7" t="s">
        <v>684</v>
      </c>
      <c r="B346" s="7" t="s">
        <v>345</v>
      </c>
      <c r="C346" s="13" t="s">
        <v>109</v>
      </c>
      <c r="D346" s="13" t="s">
        <v>110</v>
      </c>
      <c r="E346" s="5" t="s">
        <v>407</v>
      </c>
      <c r="F346" s="5" t="s">
        <v>40</v>
      </c>
      <c r="G346" s="5" t="s">
        <v>21</v>
      </c>
      <c r="H346" s="5" t="s">
        <v>795</v>
      </c>
      <c r="I346" s="6" t="str">
        <f>HYPERLINK("https://news.infoseek.co.jp/article/prtimes_000000058_000059271/","URLを開く")</f>
        <v>URLを開く</v>
      </c>
      <c r="J346" s="10" t="s">
        <v>23</v>
      </c>
      <c r="K346" s="10" t="s">
        <v>23</v>
      </c>
    </row>
    <row r="347" spans="1:11">
      <c r="A347" s="7" t="s">
        <v>684</v>
      </c>
      <c r="B347" s="7" t="s">
        <v>345</v>
      </c>
      <c r="C347" s="13" t="s">
        <v>212</v>
      </c>
      <c r="D347" s="13" t="s">
        <v>213</v>
      </c>
      <c r="E347" s="5" t="s">
        <v>407</v>
      </c>
      <c r="F347" s="5" t="s">
        <v>40</v>
      </c>
      <c r="G347" s="5" t="s">
        <v>21</v>
      </c>
      <c r="H347" s="5" t="s">
        <v>796</v>
      </c>
      <c r="I347" s="6" t="str">
        <f>HYPERLINK("https://jbpress.ismedia.jp/ud/pressrelease/60260f377765612c98250000","URLを開く")</f>
        <v>URLを開く</v>
      </c>
      <c r="J347" s="10" t="s">
        <v>23</v>
      </c>
      <c r="K347" s="10" t="s">
        <v>23</v>
      </c>
    </row>
    <row r="348" spans="1:11">
      <c r="A348" s="7" t="s">
        <v>684</v>
      </c>
      <c r="B348" s="7" t="s">
        <v>345</v>
      </c>
      <c r="C348" s="13" t="s">
        <v>95</v>
      </c>
      <c r="D348" s="13" t="s">
        <v>96</v>
      </c>
      <c r="E348" s="5" t="s">
        <v>407</v>
      </c>
      <c r="F348" s="5" t="s">
        <v>40</v>
      </c>
      <c r="G348" s="5" t="s">
        <v>21</v>
      </c>
      <c r="H348" s="5" t="s">
        <v>797</v>
      </c>
      <c r="I348" s="6" t="str">
        <f>HYPERLINK("https://www.mapion.co.jp/news/release/000000058.000059271-all/","URLを開く")</f>
        <v>URLを開く</v>
      </c>
      <c r="J348" s="10" t="s">
        <v>23</v>
      </c>
      <c r="K348" s="10" t="s">
        <v>23</v>
      </c>
    </row>
    <row r="349" spans="1:11">
      <c r="A349" s="7" t="s">
        <v>684</v>
      </c>
      <c r="B349" s="7" t="s">
        <v>345</v>
      </c>
      <c r="C349" s="13" t="s">
        <v>217</v>
      </c>
      <c r="D349" s="13" t="s">
        <v>218</v>
      </c>
      <c r="E349" s="5" t="s">
        <v>407</v>
      </c>
      <c r="F349" s="5" t="s">
        <v>40</v>
      </c>
      <c r="G349" s="5" t="s">
        <v>21</v>
      </c>
      <c r="H349" s="5" t="s">
        <v>798</v>
      </c>
      <c r="I349" s="6" t="str">
        <f>HYPERLINK("https://www.newscafe.ne.jp/release/prtimes2/20210212/641368.html","URLを開く")</f>
        <v>URLを開く</v>
      </c>
      <c r="J349" s="10" t="s">
        <v>23</v>
      </c>
      <c r="K349" s="10" t="s">
        <v>23</v>
      </c>
    </row>
    <row r="350" spans="1:11">
      <c r="A350" s="7" t="s">
        <v>684</v>
      </c>
      <c r="B350" s="7" t="s">
        <v>345</v>
      </c>
      <c r="C350" s="13" t="s">
        <v>620</v>
      </c>
      <c r="D350" s="13" t="s">
        <v>621</v>
      </c>
      <c r="E350" s="5" t="s">
        <v>407</v>
      </c>
      <c r="F350" s="5" t="s">
        <v>40</v>
      </c>
      <c r="G350" s="5" t="s">
        <v>21</v>
      </c>
      <c r="H350" s="5" t="s">
        <v>799</v>
      </c>
      <c r="I350" s="6" t="str">
        <f>HYPERLINK("https://prtimes.jp/main/html/rd/p/000000058.000059271.html","URLを開く")</f>
        <v>URLを開く</v>
      </c>
      <c r="J350" s="10" t="s">
        <v>23</v>
      </c>
      <c r="K350" s="10" t="s">
        <v>23</v>
      </c>
    </row>
    <row r="351" spans="1:11">
      <c r="A351" s="7" t="s">
        <v>684</v>
      </c>
      <c r="B351" s="7" t="s">
        <v>345</v>
      </c>
      <c r="C351" s="13" t="s">
        <v>223</v>
      </c>
      <c r="D351" s="13" t="s">
        <v>224</v>
      </c>
      <c r="E351" s="5" t="s">
        <v>407</v>
      </c>
      <c r="F351" s="5" t="s">
        <v>40</v>
      </c>
      <c r="G351" s="5" t="s">
        <v>21</v>
      </c>
      <c r="H351" s="5" t="s">
        <v>800</v>
      </c>
      <c r="I351" s="6" t="str">
        <f>HYPERLINK("https://straightpress.jp/company_news/detail?pr=000000058.000059271","URLを開く")</f>
        <v>URLを開く</v>
      </c>
      <c r="J351" s="10" t="s">
        <v>23</v>
      </c>
      <c r="K351" s="10" t="s">
        <v>23</v>
      </c>
    </row>
    <row r="352" spans="1:11">
      <c r="A352" s="7" t="s">
        <v>684</v>
      </c>
      <c r="B352" s="7" t="s">
        <v>345</v>
      </c>
      <c r="C352" s="13" t="s">
        <v>623</v>
      </c>
      <c r="D352" s="13" t="s">
        <v>23</v>
      </c>
      <c r="E352" s="5" t="s">
        <v>407</v>
      </c>
      <c r="F352" s="5" t="s">
        <v>40</v>
      </c>
      <c r="G352" s="5" t="s">
        <v>21</v>
      </c>
      <c r="H352" s="5" t="s">
        <v>801</v>
      </c>
      <c r="I352" s="6" t="str">
        <f>HYPERLINK("https://wmr.tokyo/travel/2021/02/519800/","URLを開く")</f>
        <v>URLを開く</v>
      </c>
      <c r="J352" s="10" t="s">
        <v>23</v>
      </c>
      <c r="K352" s="10" t="s">
        <v>23</v>
      </c>
    </row>
    <row r="353" spans="1:11">
      <c r="A353" s="7" t="s">
        <v>684</v>
      </c>
      <c r="B353" s="7" t="s">
        <v>345</v>
      </c>
      <c r="C353" s="13" t="s">
        <v>226</v>
      </c>
      <c r="D353" s="13" t="s">
        <v>227</v>
      </c>
      <c r="E353" s="5" t="s">
        <v>407</v>
      </c>
      <c r="F353" s="5" t="s">
        <v>40</v>
      </c>
      <c r="G353" s="5" t="s">
        <v>27</v>
      </c>
      <c r="H353" s="5" t="s">
        <v>802</v>
      </c>
      <c r="I353" s="6" t="str">
        <f>HYPERLINK("http://www.iza.ne.jp/kiji/pressrelease/news/210212/prl21021214160446-n1.html","URLを開く")</f>
        <v>URLを開く</v>
      </c>
      <c r="J353" s="10" t="s">
        <v>23</v>
      </c>
      <c r="K353" s="10" t="s">
        <v>23</v>
      </c>
    </row>
    <row r="354" spans="1:11">
      <c r="A354" s="7" t="s">
        <v>684</v>
      </c>
      <c r="B354" s="7" t="s">
        <v>345</v>
      </c>
      <c r="C354" s="13" t="s">
        <v>229</v>
      </c>
      <c r="D354" s="13" t="s">
        <v>230</v>
      </c>
      <c r="E354" s="5" t="s">
        <v>407</v>
      </c>
      <c r="F354" s="5" t="s">
        <v>40</v>
      </c>
      <c r="G354" s="5" t="s">
        <v>27</v>
      </c>
      <c r="H354" s="5" t="s">
        <v>803</v>
      </c>
      <c r="I354" s="6" t="str">
        <f>HYPERLINK("https://ure.pia.co.jp/articles/-/953025","URLを開く")</f>
        <v>URLを開く</v>
      </c>
      <c r="J354" s="10" t="s">
        <v>23</v>
      </c>
      <c r="K354" s="10" t="s">
        <v>23</v>
      </c>
    </row>
    <row r="355" spans="1:11">
      <c r="A355" s="7" t="s">
        <v>684</v>
      </c>
      <c r="B355" s="7" t="s">
        <v>345</v>
      </c>
      <c r="C355" s="13" t="s">
        <v>232</v>
      </c>
      <c r="D355" s="13" t="s">
        <v>233</v>
      </c>
      <c r="E355" s="5" t="s">
        <v>407</v>
      </c>
      <c r="F355" s="5" t="s">
        <v>40</v>
      </c>
      <c r="G355" s="5" t="s">
        <v>27</v>
      </c>
      <c r="H355" s="5" t="s">
        <v>804</v>
      </c>
      <c r="I355" s="6" t="str">
        <f>HYPERLINK("https://news.jorudan.co.jp/docs/news/detail.cgi?newsid=PT000058A000059271","URLを開く")</f>
        <v>URLを開く</v>
      </c>
      <c r="J355" s="10" t="s">
        <v>23</v>
      </c>
      <c r="K355" s="10" t="s">
        <v>23</v>
      </c>
    </row>
    <row r="356" spans="1:11">
      <c r="A356" s="7" t="s">
        <v>684</v>
      </c>
      <c r="B356" s="7" t="s">
        <v>345</v>
      </c>
      <c r="C356" s="13" t="s">
        <v>235</v>
      </c>
      <c r="D356" s="13" t="s">
        <v>236</v>
      </c>
      <c r="E356" s="5" t="s">
        <v>407</v>
      </c>
      <c r="F356" s="5" t="s">
        <v>40</v>
      </c>
      <c r="G356" s="5" t="s">
        <v>21</v>
      </c>
      <c r="H356" s="5" t="s">
        <v>805</v>
      </c>
      <c r="I356" s="6" t="str">
        <f>HYPERLINK("https://news.toremaga.com/release/others/1779624.html","URLを開く")</f>
        <v>URLを開く</v>
      </c>
      <c r="J356" s="10" t="s">
        <v>23</v>
      </c>
      <c r="K356" s="10" t="s">
        <v>23</v>
      </c>
    </row>
    <row r="357" spans="1:11">
      <c r="A357" s="7" t="s">
        <v>684</v>
      </c>
      <c r="B357" s="7" t="s">
        <v>345</v>
      </c>
      <c r="C357" s="13" t="s">
        <v>238</v>
      </c>
      <c r="D357" s="13" t="s">
        <v>239</v>
      </c>
      <c r="E357" s="5" t="s">
        <v>407</v>
      </c>
      <c r="F357" s="5" t="s">
        <v>40</v>
      </c>
      <c r="G357" s="5" t="s">
        <v>33</v>
      </c>
      <c r="H357" s="5" t="s">
        <v>806</v>
      </c>
      <c r="I357" s="6" t="str">
        <f>HYPERLINK("https://news.nicovideo.jp/watch/nw8928388","URLを開く")</f>
        <v>URLを開く</v>
      </c>
      <c r="J357" s="10" t="s">
        <v>23</v>
      </c>
      <c r="K357" s="10" t="s">
        <v>23</v>
      </c>
    </row>
    <row r="358" spans="1:11">
      <c r="A358" s="7" t="s">
        <v>684</v>
      </c>
      <c r="B358" s="7" t="s">
        <v>345</v>
      </c>
      <c r="C358" s="13" t="s">
        <v>241</v>
      </c>
      <c r="D358" s="13" t="s">
        <v>242</v>
      </c>
      <c r="E358" s="5" t="s">
        <v>407</v>
      </c>
      <c r="F358" s="5" t="s">
        <v>40</v>
      </c>
      <c r="G358" s="5" t="s">
        <v>21</v>
      </c>
      <c r="H358" s="5" t="s">
        <v>807</v>
      </c>
      <c r="I358" s="6" t="str">
        <f>HYPERLINK("https://www.jiji.com/jc/article?g=prt&amp;k=000000058.000059271","URLを開く")</f>
        <v>URLを開く</v>
      </c>
      <c r="J358" s="10" t="s">
        <v>23</v>
      </c>
      <c r="K358" s="10" t="s">
        <v>23</v>
      </c>
    </row>
    <row r="359" spans="1:11">
      <c r="A359" s="7" t="s">
        <v>684</v>
      </c>
      <c r="B359" s="7" t="s">
        <v>345</v>
      </c>
      <c r="C359" s="13" t="s">
        <v>244</v>
      </c>
      <c r="D359" s="13" t="s">
        <v>160</v>
      </c>
      <c r="E359" s="5" t="s">
        <v>407</v>
      </c>
      <c r="F359" s="5" t="s">
        <v>40</v>
      </c>
      <c r="G359" s="5" t="s">
        <v>21</v>
      </c>
      <c r="H359" s="5" t="s">
        <v>808</v>
      </c>
      <c r="I359" s="6" t="str">
        <f>HYPERLINK("https://www.asahi.com/and_M/pressrelease/pre_23458294/","URLを開く")</f>
        <v>URLを開く</v>
      </c>
      <c r="J359" s="10" t="s">
        <v>23</v>
      </c>
      <c r="K359" s="10" t="s">
        <v>23</v>
      </c>
    </row>
    <row r="360" spans="1:11">
      <c r="A360" s="7" t="s">
        <v>684</v>
      </c>
      <c r="B360" s="7" t="s">
        <v>345</v>
      </c>
      <c r="C360" s="13" t="s">
        <v>246</v>
      </c>
      <c r="D360" s="13" t="s">
        <v>247</v>
      </c>
      <c r="E360" s="5" t="s">
        <v>407</v>
      </c>
      <c r="F360" s="5" t="s">
        <v>40</v>
      </c>
      <c r="G360" s="5" t="s">
        <v>21</v>
      </c>
      <c r="H360" s="5" t="s">
        <v>809</v>
      </c>
      <c r="I360" s="6" t="str">
        <f>HYPERLINK("https://toyokeizai.net/ud/pressrelease/6026133577656133b53d0000","URLを開く")</f>
        <v>URLを開く</v>
      </c>
      <c r="J360" s="10" t="s">
        <v>23</v>
      </c>
      <c r="K360" s="10" t="s">
        <v>23</v>
      </c>
    </row>
    <row r="361" spans="1:11">
      <c r="A361" s="7" t="s">
        <v>684</v>
      </c>
      <c r="B361" s="7" t="s">
        <v>345</v>
      </c>
      <c r="C361" s="13" t="s">
        <v>178</v>
      </c>
      <c r="D361" s="13" t="s">
        <v>179</v>
      </c>
      <c r="E361" s="5" t="s">
        <v>407</v>
      </c>
      <c r="F361" s="5" t="s">
        <v>40</v>
      </c>
      <c r="G361" s="5" t="s">
        <v>21</v>
      </c>
      <c r="H361" s="5" t="s">
        <v>810</v>
      </c>
      <c r="I361" s="6" t="str">
        <f>HYPERLINK("https://gendai.ismedia.jp/ud/pressrelease/6026136377656157193e0000","URLを開く")</f>
        <v>URLを開く</v>
      </c>
      <c r="J361" s="10" t="s">
        <v>23</v>
      </c>
      <c r="K361" s="10" t="s">
        <v>23</v>
      </c>
    </row>
    <row r="362" spans="1:11">
      <c r="A362" s="7" t="s">
        <v>684</v>
      </c>
      <c r="B362" s="7" t="s">
        <v>345</v>
      </c>
      <c r="C362" s="13" t="s">
        <v>250</v>
      </c>
      <c r="D362" s="13" t="s">
        <v>227</v>
      </c>
      <c r="E362" s="5" t="s">
        <v>407</v>
      </c>
      <c r="F362" s="5" t="s">
        <v>40</v>
      </c>
      <c r="G362" s="5" t="s">
        <v>27</v>
      </c>
      <c r="H362" s="5" t="s">
        <v>811</v>
      </c>
      <c r="I362" s="6" t="str">
        <f>HYPERLINK("https://www.sankei.com/economy/news/210212/prl2102120447-n1.html","URLを開く")</f>
        <v>URLを開く</v>
      </c>
      <c r="J362" s="10" t="s">
        <v>23</v>
      </c>
      <c r="K362" s="10" t="s">
        <v>23</v>
      </c>
    </row>
    <row r="363" spans="1:11">
      <c r="A363" s="7" t="s">
        <v>684</v>
      </c>
      <c r="B363" s="7" t="s">
        <v>345</v>
      </c>
      <c r="C363" s="13" t="s">
        <v>255</v>
      </c>
      <c r="D363" s="13" t="s">
        <v>256</v>
      </c>
      <c r="E363" s="5" t="s">
        <v>407</v>
      </c>
      <c r="F363" s="5" t="s">
        <v>40</v>
      </c>
      <c r="G363" s="5" t="s">
        <v>21</v>
      </c>
      <c r="H363" s="5" t="s">
        <v>812</v>
      </c>
      <c r="I363" s="6" t="str">
        <f>HYPERLINK("https://www.zaikei.co.jp/releases/1216434/","URLを開く")</f>
        <v>URLを開く</v>
      </c>
      <c r="J363" s="10" t="s">
        <v>23</v>
      </c>
      <c r="K363" s="10" t="s">
        <v>23</v>
      </c>
    </row>
    <row r="364" spans="1:11">
      <c r="A364" s="7" t="s">
        <v>684</v>
      </c>
      <c r="B364" s="7" t="s">
        <v>345</v>
      </c>
      <c r="C364" s="13" t="s">
        <v>258</v>
      </c>
      <c r="D364" s="13" t="s">
        <v>259</v>
      </c>
      <c r="E364" s="5" t="s">
        <v>813</v>
      </c>
      <c r="F364" s="5" t="s">
        <v>40</v>
      </c>
      <c r="G364" s="5" t="s">
        <v>21</v>
      </c>
      <c r="H364" s="5" t="s">
        <v>814</v>
      </c>
      <c r="I364" s="6" t="str">
        <f>HYPERLINK("https://number.bunshun.jp/ud/pressrelease/602612d277656172b8010000","URLを開く")</f>
        <v>URLを開く</v>
      </c>
      <c r="J364" s="10" t="s">
        <v>23</v>
      </c>
      <c r="K364" s="10" t="s">
        <v>23</v>
      </c>
    </row>
    <row r="365" spans="1:11">
      <c r="A365" s="7" t="s">
        <v>684</v>
      </c>
      <c r="B365" s="7" t="s">
        <v>345</v>
      </c>
      <c r="C365" s="13" t="s">
        <v>462</v>
      </c>
      <c r="D365" s="13" t="s">
        <v>462</v>
      </c>
      <c r="E365" s="5" t="s">
        <v>815</v>
      </c>
      <c r="F365" s="5" t="s">
        <v>58</v>
      </c>
      <c r="G365" s="5" t="s">
        <v>33</v>
      </c>
      <c r="H365" s="5" t="s">
        <v>816</v>
      </c>
      <c r="I365" s="6" t="str">
        <f>HYPERLINK("https://finance.yahoo.co.jp/news/detail/20210212-12787216-ifis-stocks","URLを開く")</f>
        <v>URLを開く</v>
      </c>
      <c r="J365" s="10" t="s">
        <v>23</v>
      </c>
      <c r="K365" s="10" t="s">
        <v>23</v>
      </c>
    </row>
    <row r="366" spans="1:11">
      <c r="A366" s="7" t="s">
        <v>684</v>
      </c>
      <c r="B366" s="7" t="s">
        <v>345</v>
      </c>
      <c r="C366" s="13" t="s">
        <v>462</v>
      </c>
      <c r="D366" s="13" t="s">
        <v>462</v>
      </c>
      <c r="E366" s="5" t="s">
        <v>817</v>
      </c>
      <c r="F366" s="5" t="s">
        <v>58</v>
      </c>
      <c r="G366" s="5" t="s">
        <v>33</v>
      </c>
      <c r="H366" s="5" t="s">
        <v>818</v>
      </c>
      <c r="I366" s="6" t="str">
        <f>HYPERLINK("https://finance.yahoo.co.jp/news/detail/20210212-11787216-ifis-stocks","URLを開く")</f>
        <v>URLを開く</v>
      </c>
      <c r="J366" s="10" t="s">
        <v>23</v>
      </c>
      <c r="K366" s="10" t="s">
        <v>23</v>
      </c>
    </row>
    <row r="367" spans="1:11">
      <c r="A367" s="7" t="s">
        <v>684</v>
      </c>
      <c r="B367" s="7" t="s">
        <v>345</v>
      </c>
      <c r="C367" s="13" t="s">
        <v>402</v>
      </c>
      <c r="D367" s="13" t="s">
        <v>271</v>
      </c>
      <c r="E367" s="5" t="s">
        <v>819</v>
      </c>
      <c r="F367" s="5" t="s">
        <v>40</v>
      </c>
      <c r="G367" s="5" t="s">
        <v>27</v>
      </c>
      <c r="H367" s="5" t="s">
        <v>820</v>
      </c>
      <c r="I367" s="6" t="str">
        <f>HYPERLINK("https://www.mensnonno.jp/post/70298/","URLを開く")</f>
        <v>URLを開く</v>
      </c>
      <c r="J367" s="10" t="s">
        <v>23</v>
      </c>
      <c r="K367" s="10" t="s">
        <v>29</v>
      </c>
    </row>
    <row r="368" spans="1:11">
      <c r="A368" s="7" t="s">
        <v>684</v>
      </c>
      <c r="B368" s="7" t="s">
        <v>345</v>
      </c>
      <c r="C368" s="13" t="s">
        <v>821</v>
      </c>
      <c r="D368" s="13" t="s">
        <v>822</v>
      </c>
      <c r="E368" s="5" t="s">
        <v>823</v>
      </c>
      <c r="F368" s="5" t="s">
        <v>20</v>
      </c>
      <c r="G368" s="5" t="s">
        <v>27</v>
      </c>
      <c r="H368" s="5" t="s">
        <v>824</v>
      </c>
      <c r="I368" s="6" t="str">
        <f>HYPERLINK("https://www.tsuhanshimbun.com/products/article_detail.php?product_id=5646","URLを開く")</f>
        <v>URLを開く</v>
      </c>
      <c r="J368" s="10" t="s">
        <v>23</v>
      </c>
      <c r="K368" s="10" t="s">
        <v>23</v>
      </c>
    </row>
    <row r="369" spans="1:11">
      <c r="A369" s="7" t="s">
        <v>684</v>
      </c>
      <c r="B369" s="7" t="s">
        <v>345</v>
      </c>
      <c r="C369" s="13" t="s">
        <v>103</v>
      </c>
      <c r="D369" s="13" t="s">
        <v>104</v>
      </c>
      <c r="E369" s="5" t="s">
        <v>825</v>
      </c>
      <c r="F369" s="5" t="s">
        <v>40</v>
      </c>
      <c r="G369" s="5" t="s">
        <v>33</v>
      </c>
      <c r="H369" s="5" t="s">
        <v>826</v>
      </c>
      <c r="I369" s="6" t="str">
        <f>HYPERLINK("https://www.excite.co.jp/news/article/Qetic_388098/","URLを開く")</f>
        <v>URLを開く</v>
      </c>
      <c r="J369" s="10" t="s">
        <v>23</v>
      </c>
      <c r="K369" s="10" t="s">
        <v>23</v>
      </c>
    </row>
    <row r="370" spans="1:11">
      <c r="A370" s="7" t="s">
        <v>684</v>
      </c>
      <c r="B370" s="7" t="s">
        <v>345</v>
      </c>
      <c r="C370" s="13" t="s">
        <v>827</v>
      </c>
      <c r="D370" s="13" t="s">
        <v>828</v>
      </c>
      <c r="E370" s="5" t="s">
        <v>825</v>
      </c>
      <c r="F370" s="5" t="s">
        <v>40</v>
      </c>
      <c r="G370" s="5" t="s">
        <v>27</v>
      </c>
      <c r="H370" s="5" t="s">
        <v>829</v>
      </c>
      <c r="I370" s="6" t="str">
        <f>HYPERLINK("https://qetic.jp/life-fashion/adidas-thesimpsons-210212/388098/","URLを開く")</f>
        <v>URLを開く</v>
      </c>
      <c r="J370" s="10" t="s">
        <v>23</v>
      </c>
      <c r="K370" s="10" t="s">
        <v>23</v>
      </c>
    </row>
    <row r="371" spans="1:11">
      <c r="A371" s="7" t="s">
        <v>684</v>
      </c>
      <c r="B371" s="7" t="s">
        <v>345</v>
      </c>
      <c r="C371" s="13" t="s">
        <v>238</v>
      </c>
      <c r="D371" s="13" t="s">
        <v>239</v>
      </c>
      <c r="E371" s="5" t="s">
        <v>825</v>
      </c>
      <c r="F371" s="5" t="s">
        <v>40</v>
      </c>
      <c r="G371" s="5" t="s">
        <v>33</v>
      </c>
      <c r="H371" s="5" t="s">
        <v>830</v>
      </c>
      <c r="I371" s="6" t="str">
        <f>HYPERLINK("https://news.nicovideo.jp/watch/nw8929477","URLを開く")</f>
        <v>URLを開く</v>
      </c>
      <c r="J371" s="10" t="s">
        <v>23</v>
      </c>
      <c r="K371" s="10" t="s">
        <v>23</v>
      </c>
    </row>
    <row r="372" spans="1:11">
      <c r="A372" s="7" t="s">
        <v>684</v>
      </c>
      <c r="B372" s="7" t="s">
        <v>345</v>
      </c>
      <c r="C372" s="13" t="s">
        <v>831</v>
      </c>
      <c r="D372" s="13" t="s">
        <v>832</v>
      </c>
      <c r="E372" s="5" t="s">
        <v>833</v>
      </c>
      <c r="F372" s="5" t="s">
        <v>40</v>
      </c>
      <c r="G372" s="5" t="s">
        <v>27</v>
      </c>
      <c r="H372" s="5" t="s">
        <v>834</v>
      </c>
      <c r="I372" s="6" t="str">
        <f>HYPERLINK("https://mastered.jp/news/adidasoriginals-forum84low-20210217/","URLを開く")</f>
        <v>URLを開く</v>
      </c>
      <c r="J372" s="10" t="s">
        <v>23</v>
      </c>
      <c r="K372" s="10" t="s">
        <v>23</v>
      </c>
    </row>
    <row r="373" spans="1:11">
      <c r="A373" s="7" t="s">
        <v>684</v>
      </c>
      <c r="B373" s="7" t="s">
        <v>345</v>
      </c>
      <c r="C373" s="13" t="s">
        <v>83</v>
      </c>
      <c r="D373" s="13" t="s">
        <v>84</v>
      </c>
      <c r="E373" s="5" t="s">
        <v>835</v>
      </c>
      <c r="F373" s="5" t="s">
        <v>40</v>
      </c>
      <c r="G373" s="5" t="s">
        <v>27</v>
      </c>
      <c r="H373" s="5" t="s">
        <v>836</v>
      </c>
      <c r="I373" s="6" t="str">
        <f>HYPERLINK("https://fnmnl.tv/2021/02/12/118007","URLを開く")</f>
        <v>URLを開く</v>
      </c>
      <c r="J373" s="10" t="s">
        <v>23</v>
      </c>
      <c r="K373" s="10" t="s">
        <v>23</v>
      </c>
    </row>
    <row r="374" spans="1:11">
      <c r="A374" s="7" t="s">
        <v>684</v>
      </c>
      <c r="B374" s="7" t="s">
        <v>345</v>
      </c>
      <c r="C374" s="13" t="s">
        <v>837</v>
      </c>
      <c r="D374" s="13" t="s">
        <v>838</v>
      </c>
      <c r="E374" s="5" t="s">
        <v>839</v>
      </c>
      <c r="F374" s="5" t="s">
        <v>40</v>
      </c>
      <c r="G374" s="5" t="s">
        <v>27</v>
      </c>
      <c r="H374" s="5" t="s">
        <v>840</v>
      </c>
      <c r="I374" s="6" t="str">
        <f>HYPERLINK("https://flymag.jp/news/14406/","URLを開く")</f>
        <v>URLを開く</v>
      </c>
      <c r="J374" s="10" t="s">
        <v>23</v>
      </c>
      <c r="K374" s="10" t="s">
        <v>23</v>
      </c>
    </row>
    <row r="375" spans="1:11">
      <c r="A375" s="7" t="s">
        <v>684</v>
      </c>
      <c r="B375" s="7" t="s">
        <v>345</v>
      </c>
      <c r="C375" s="13" t="s">
        <v>841</v>
      </c>
      <c r="D375" s="13" t="s">
        <v>842</v>
      </c>
      <c r="E375" s="5" t="s">
        <v>843</v>
      </c>
      <c r="F375" s="5" t="s">
        <v>65</v>
      </c>
      <c r="G375" s="5" t="s">
        <v>27</v>
      </c>
      <c r="H375" s="5" t="s">
        <v>844</v>
      </c>
      <c r="I375" s="6" t="str">
        <f>HYPERLINK("https://creatorzine.jp/news/detail/1377","URLを開く")</f>
        <v>URLを開く</v>
      </c>
      <c r="J375" s="10" t="s">
        <v>23</v>
      </c>
      <c r="K375" s="10" t="s">
        <v>23</v>
      </c>
    </row>
    <row r="376" spans="1:11">
      <c r="A376" s="7" t="s">
        <v>684</v>
      </c>
      <c r="B376" s="7" t="s">
        <v>345</v>
      </c>
      <c r="C376" s="13" t="s">
        <v>190</v>
      </c>
      <c r="D376" s="13" t="s">
        <v>129</v>
      </c>
      <c r="E376" s="5" t="s">
        <v>425</v>
      </c>
      <c r="F376" s="5" t="s">
        <v>65</v>
      </c>
      <c r="G376" s="5" t="s">
        <v>21</v>
      </c>
      <c r="H376" s="5" t="s">
        <v>845</v>
      </c>
      <c r="I376" s="6" t="str">
        <f>HYPERLINK("https://dime.jp/company_news/detail/?pr=772761","URLを開く")</f>
        <v>URLを開く</v>
      </c>
      <c r="J376" s="10" t="s">
        <v>23</v>
      </c>
      <c r="K376" s="10" t="s">
        <v>23</v>
      </c>
    </row>
    <row r="377" spans="1:11">
      <c r="A377" s="7" t="s">
        <v>684</v>
      </c>
      <c r="B377" s="7" t="s">
        <v>345</v>
      </c>
      <c r="C377" s="13" t="s">
        <v>193</v>
      </c>
      <c r="D377" s="13" t="s">
        <v>100</v>
      </c>
      <c r="E377" s="5" t="s">
        <v>425</v>
      </c>
      <c r="F377" s="5" t="s">
        <v>65</v>
      </c>
      <c r="G377" s="5" t="s">
        <v>21</v>
      </c>
      <c r="H377" s="5" t="s">
        <v>846</v>
      </c>
      <c r="I377" s="6" t="str">
        <f>HYPERLINK("https://business.nifty.com/cs/catalog/business_release/catalog_prt000000099000063811_1.htm","URLを開く")</f>
        <v>URLを開く</v>
      </c>
      <c r="J377" s="10" t="s">
        <v>23</v>
      </c>
      <c r="K377" s="10" t="s">
        <v>23</v>
      </c>
    </row>
    <row r="378" spans="1:11">
      <c r="A378" s="7" t="s">
        <v>684</v>
      </c>
      <c r="B378" s="7" t="s">
        <v>345</v>
      </c>
      <c r="C378" s="13" t="s">
        <v>195</v>
      </c>
      <c r="D378" s="13" t="s">
        <v>196</v>
      </c>
      <c r="E378" s="5" t="s">
        <v>425</v>
      </c>
      <c r="F378" s="5" t="s">
        <v>65</v>
      </c>
      <c r="G378" s="5" t="s">
        <v>21</v>
      </c>
      <c r="H378" s="5" t="s">
        <v>847</v>
      </c>
      <c r="I378" s="6" t="str">
        <f>HYPERLINK("https://news.allabout.co.jp/articles/p/000000099.000063811/","URLを開く")</f>
        <v>URLを開く</v>
      </c>
      <c r="J378" s="10" t="s">
        <v>23</v>
      </c>
      <c r="K378" s="10" t="s">
        <v>23</v>
      </c>
    </row>
    <row r="379" spans="1:11">
      <c r="A379" s="7" t="s">
        <v>684</v>
      </c>
      <c r="B379" s="7" t="s">
        <v>345</v>
      </c>
      <c r="C379" s="13" t="s">
        <v>198</v>
      </c>
      <c r="D379" s="13" t="s">
        <v>199</v>
      </c>
      <c r="E379" s="5" t="s">
        <v>425</v>
      </c>
      <c r="F379" s="5" t="s">
        <v>65</v>
      </c>
      <c r="G379" s="5" t="s">
        <v>21</v>
      </c>
      <c r="H379" s="5" t="s">
        <v>848</v>
      </c>
      <c r="I379" s="6" t="str">
        <f>HYPERLINK("https://www.kk-bestsellers.com/articles/-/press_release/832764/","URLを開く")</f>
        <v>URLを開く</v>
      </c>
      <c r="J379" s="10" t="s">
        <v>23</v>
      </c>
      <c r="K379" s="10" t="s">
        <v>23</v>
      </c>
    </row>
    <row r="380" spans="1:11">
      <c r="A380" s="7" t="s">
        <v>684</v>
      </c>
      <c r="B380" s="7" t="s">
        <v>345</v>
      </c>
      <c r="C380" s="13" t="s">
        <v>201</v>
      </c>
      <c r="D380" s="13" t="s">
        <v>202</v>
      </c>
      <c r="E380" s="5" t="s">
        <v>425</v>
      </c>
      <c r="F380" s="5" t="s">
        <v>65</v>
      </c>
      <c r="G380" s="5" t="s">
        <v>21</v>
      </c>
      <c r="H380" s="5" t="s">
        <v>849</v>
      </c>
      <c r="I380" s="6" t="str">
        <f>HYPERLINK("https://news.biglobe.ne.jp/economy/0212/prt_210212_2577279647.html","URLを開く")</f>
        <v>URLを開く</v>
      </c>
      <c r="J380" s="10" t="s">
        <v>23</v>
      </c>
      <c r="K380" s="10" t="s">
        <v>23</v>
      </c>
    </row>
    <row r="381" spans="1:11">
      <c r="A381" s="7" t="s">
        <v>684</v>
      </c>
      <c r="B381" s="7" t="s">
        <v>345</v>
      </c>
      <c r="C381" s="13" t="s">
        <v>207</v>
      </c>
      <c r="D381" s="13" t="s">
        <v>208</v>
      </c>
      <c r="E381" s="5" t="s">
        <v>425</v>
      </c>
      <c r="F381" s="5" t="s">
        <v>65</v>
      </c>
      <c r="G381" s="5" t="s">
        <v>21</v>
      </c>
      <c r="H381" s="5" t="s">
        <v>850</v>
      </c>
      <c r="I381" s="6" t="str">
        <f>HYPERLINK("https://news.cube-soft.jp/release/729641","URLを開く")</f>
        <v>URLを開く</v>
      </c>
      <c r="J381" s="10" t="s">
        <v>23</v>
      </c>
      <c r="K381" s="10" t="s">
        <v>23</v>
      </c>
    </row>
    <row r="382" spans="1:11">
      <c r="A382" s="7" t="s">
        <v>684</v>
      </c>
      <c r="B382" s="7" t="s">
        <v>345</v>
      </c>
      <c r="C382" s="13" t="s">
        <v>103</v>
      </c>
      <c r="D382" s="13" t="s">
        <v>104</v>
      </c>
      <c r="E382" s="5" t="s">
        <v>425</v>
      </c>
      <c r="F382" s="5" t="s">
        <v>65</v>
      </c>
      <c r="G382" s="5" t="s">
        <v>33</v>
      </c>
      <c r="H382" s="5" t="s">
        <v>851</v>
      </c>
      <c r="I382" s="6" t="str">
        <f>HYPERLINK("https://www.excite.co.jp/news/article/Prtimes_2021-02-12-63811-99/","URLを開く")</f>
        <v>URLを開く</v>
      </c>
      <c r="J382" s="10" t="s">
        <v>23</v>
      </c>
      <c r="K382" s="10" t="s">
        <v>23</v>
      </c>
    </row>
    <row r="383" spans="1:11">
      <c r="A383" s="7" t="s">
        <v>684</v>
      </c>
      <c r="B383" s="7" t="s">
        <v>345</v>
      </c>
      <c r="C383" s="13" t="s">
        <v>109</v>
      </c>
      <c r="D383" s="13" t="s">
        <v>110</v>
      </c>
      <c r="E383" s="5" t="s">
        <v>425</v>
      </c>
      <c r="F383" s="5" t="s">
        <v>65</v>
      </c>
      <c r="G383" s="5" t="s">
        <v>21</v>
      </c>
      <c r="H383" s="5" t="s">
        <v>852</v>
      </c>
      <c r="I383" s="6" t="str">
        <f>HYPERLINK("https://news.infoseek.co.jp/article/prtimes_000000099_000063811/","URLを開く")</f>
        <v>URLを開く</v>
      </c>
      <c r="J383" s="10" t="s">
        <v>23</v>
      </c>
      <c r="K383" s="10" t="s">
        <v>23</v>
      </c>
    </row>
    <row r="384" spans="1:11">
      <c r="A384" s="7" t="s">
        <v>684</v>
      </c>
      <c r="B384" s="7" t="s">
        <v>345</v>
      </c>
      <c r="C384" s="13" t="s">
        <v>212</v>
      </c>
      <c r="D384" s="13" t="s">
        <v>213</v>
      </c>
      <c r="E384" s="5" t="s">
        <v>425</v>
      </c>
      <c r="F384" s="5" t="s">
        <v>65</v>
      </c>
      <c r="G384" s="5" t="s">
        <v>21</v>
      </c>
      <c r="H384" s="5" t="s">
        <v>853</v>
      </c>
      <c r="I384" s="6" t="str">
        <f>HYPERLINK("https://jbpress.ismedia.jp/ud/pressrelease/60262b587765615cb84e0000","URLを開く")</f>
        <v>URLを開く</v>
      </c>
      <c r="J384" s="10" t="s">
        <v>23</v>
      </c>
      <c r="K384" s="10" t="s">
        <v>23</v>
      </c>
    </row>
    <row r="385" spans="1:11">
      <c r="A385" s="7" t="s">
        <v>684</v>
      </c>
      <c r="B385" s="7" t="s">
        <v>345</v>
      </c>
      <c r="C385" s="13" t="s">
        <v>95</v>
      </c>
      <c r="D385" s="13" t="s">
        <v>96</v>
      </c>
      <c r="E385" s="5" t="s">
        <v>425</v>
      </c>
      <c r="F385" s="5" t="s">
        <v>65</v>
      </c>
      <c r="G385" s="5" t="s">
        <v>21</v>
      </c>
      <c r="H385" s="5" t="s">
        <v>854</v>
      </c>
      <c r="I385" s="6" t="str">
        <f>HYPERLINK("https://www.mapion.co.jp/news/release/000000099.000063811-all/","URLを開く")</f>
        <v>URLを開く</v>
      </c>
      <c r="J385" s="10" t="s">
        <v>23</v>
      </c>
      <c r="K385" s="10" t="s">
        <v>23</v>
      </c>
    </row>
    <row r="386" spans="1:11">
      <c r="A386" s="7" t="s">
        <v>684</v>
      </c>
      <c r="B386" s="7" t="s">
        <v>345</v>
      </c>
      <c r="C386" s="13" t="s">
        <v>217</v>
      </c>
      <c r="D386" s="13" t="s">
        <v>218</v>
      </c>
      <c r="E386" s="5" t="s">
        <v>425</v>
      </c>
      <c r="F386" s="5" t="s">
        <v>65</v>
      </c>
      <c r="G386" s="5" t="s">
        <v>21</v>
      </c>
      <c r="H386" s="5" t="s">
        <v>855</v>
      </c>
      <c r="I386" s="6" t="str">
        <f>HYPERLINK("https://www.newscafe.ne.jp/release/prtimes2/20210212/641418.html","URLを開く")</f>
        <v>URLを開く</v>
      </c>
      <c r="J386" s="10" t="s">
        <v>23</v>
      </c>
      <c r="K386" s="10" t="s">
        <v>23</v>
      </c>
    </row>
    <row r="387" spans="1:11">
      <c r="A387" s="7" t="s">
        <v>684</v>
      </c>
      <c r="B387" s="7" t="s">
        <v>345</v>
      </c>
      <c r="C387" s="13" t="s">
        <v>620</v>
      </c>
      <c r="D387" s="13" t="s">
        <v>621</v>
      </c>
      <c r="E387" s="5" t="s">
        <v>856</v>
      </c>
      <c r="F387" s="5" t="s">
        <v>65</v>
      </c>
      <c r="G387" s="5" t="s">
        <v>21</v>
      </c>
      <c r="H387" s="5" t="s">
        <v>857</v>
      </c>
      <c r="I387" s="6" t="str">
        <f>HYPERLINK("https://prtimes.jp/main/html/rd/p/000000099.000063811.html","URLを開く")</f>
        <v>URLを開く</v>
      </c>
      <c r="J387" s="10" t="s">
        <v>23</v>
      </c>
      <c r="K387" s="10" t="s">
        <v>23</v>
      </c>
    </row>
    <row r="388" spans="1:11">
      <c r="A388" s="7" t="s">
        <v>684</v>
      </c>
      <c r="B388" s="7" t="s">
        <v>345</v>
      </c>
      <c r="C388" s="13" t="s">
        <v>223</v>
      </c>
      <c r="D388" s="13" t="s">
        <v>224</v>
      </c>
      <c r="E388" s="5" t="s">
        <v>425</v>
      </c>
      <c r="F388" s="5" t="s">
        <v>65</v>
      </c>
      <c r="G388" s="5" t="s">
        <v>21</v>
      </c>
      <c r="H388" s="5" t="s">
        <v>858</v>
      </c>
      <c r="I388" s="6" t="str">
        <f>HYPERLINK("https://straightpress.jp/company_news/detail?pr=000000099.000063811","URLを開く")</f>
        <v>URLを開く</v>
      </c>
      <c r="J388" s="10" t="s">
        <v>23</v>
      </c>
      <c r="K388" s="10" t="s">
        <v>23</v>
      </c>
    </row>
    <row r="389" spans="1:11">
      <c r="A389" s="7" t="s">
        <v>684</v>
      </c>
      <c r="B389" s="7" t="s">
        <v>345</v>
      </c>
      <c r="C389" s="13" t="s">
        <v>226</v>
      </c>
      <c r="D389" s="13" t="s">
        <v>227</v>
      </c>
      <c r="E389" s="5" t="s">
        <v>425</v>
      </c>
      <c r="F389" s="5" t="s">
        <v>65</v>
      </c>
      <c r="G389" s="5" t="s">
        <v>27</v>
      </c>
      <c r="H389" s="5" t="s">
        <v>859</v>
      </c>
      <c r="I389" s="6" t="str">
        <f>HYPERLINK("http://www.iza.ne.jp/kiji/pressrelease/news/210212/prl21021215420545-n1.html","URLを開く")</f>
        <v>URLを開く</v>
      </c>
      <c r="J389" s="10" t="s">
        <v>23</v>
      </c>
      <c r="K389" s="10" t="s">
        <v>23</v>
      </c>
    </row>
    <row r="390" spans="1:11">
      <c r="A390" s="7" t="s">
        <v>684</v>
      </c>
      <c r="B390" s="7" t="s">
        <v>345</v>
      </c>
      <c r="C390" s="13" t="s">
        <v>229</v>
      </c>
      <c r="D390" s="13" t="s">
        <v>230</v>
      </c>
      <c r="E390" s="5" t="s">
        <v>425</v>
      </c>
      <c r="F390" s="5" t="s">
        <v>65</v>
      </c>
      <c r="G390" s="5" t="s">
        <v>27</v>
      </c>
      <c r="H390" s="5" t="s">
        <v>860</v>
      </c>
      <c r="I390" s="6" t="str">
        <f>HYPERLINK("https://ure.pia.co.jp/articles/-/953106","URLを開く")</f>
        <v>URLを開く</v>
      </c>
      <c r="J390" s="10" t="s">
        <v>23</v>
      </c>
      <c r="K390" s="10" t="s">
        <v>23</v>
      </c>
    </row>
    <row r="391" spans="1:11">
      <c r="A391" s="7" t="s">
        <v>684</v>
      </c>
      <c r="B391" s="7" t="s">
        <v>345</v>
      </c>
      <c r="C391" s="13" t="s">
        <v>232</v>
      </c>
      <c r="D391" s="13" t="s">
        <v>233</v>
      </c>
      <c r="E391" s="5" t="s">
        <v>425</v>
      </c>
      <c r="F391" s="5" t="s">
        <v>65</v>
      </c>
      <c r="G391" s="5" t="s">
        <v>27</v>
      </c>
      <c r="H391" s="5" t="s">
        <v>861</v>
      </c>
      <c r="I391" s="6" t="str">
        <f>HYPERLINK("https://news.jorudan.co.jp/docs/news/detail.cgi?newsid=PT000099A000063811","URLを開く")</f>
        <v>URLを開く</v>
      </c>
      <c r="J391" s="10" t="s">
        <v>23</v>
      </c>
      <c r="K391" s="10" t="s">
        <v>23</v>
      </c>
    </row>
    <row r="392" spans="1:11">
      <c r="A392" s="7" t="s">
        <v>684</v>
      </c>
      <c r="B392" s="7" t="s">
        <v>345</v>
      </c>
      <c r="C392" s="13" t="s">
        <v>235</v>
      </c>
      <c r="D392" s="13" t="s">
        <v>236</v>
      </c>
      <c r="E392" s="5" t="s">
        <v>425</v>
      </c>
      <c r="F392" s="5" t="s">
        <v>65</v>
      </c>
      <c r="G392" s="5" t="s">
        <v>21</v>
      </c>
      <c r="H392" s="5" t="s">
        <v>862</v>
      </c>
      <c r="I392" s="6" t="str">
        <f>HYPERLINK("https://news.toremaga.com/release/others/1779676.html","URLを開く")</f>
        <v>URLを開く</v>
      </c>
      <c r="J392" s="10" t="s">
        <v>23</v>
      </c>
      <c r="K392" s="10" t="s">
        <v>23</v>
      </c>
    </row>
    <row r="393" spans="1:11">
      <c r="A393" s="7" t="s">
        <v>684</v>
      </c>
      <c r="B393" s="7" t="s">
        <v>345</v>
      </c>
      <c r="C393" s="13" t="s">
        <v>238</v>
      </c>
      <c r="D393" s="13" t="s">
        <v>239</v>
      </c>
      <c r="E393" s="5" t="s">
        <v>425</v>
      </c>
      <c r="F393" s="5" t="s">
        <v>65</v>
      </c>
      <c r="G393" s="5" t="s">
        <v>33</v>
      </c>
      <c r="H393" s="5" t="s">
        <v>863</v>
      </c>
      <c r="I393" s="6" t="str">
        <f>HYPERLINK("https://news.nicovideo.jp/watch/nw8928805","URLを開く")</f>
        <v>URLを開く</v>
      </c>
      <c r="J393" s="10" t="s">
        <v>23</v>
      </c>
      <c r="K393" s="10" t="s">
        <v>23</v>
      </c>
    </row>
    <row r="394" spans="1:11">
      <c r="A394" s="7" t="s">
        <v>684</v>
      </c>
      <c r="B394" s="7" t="s">
        <v>345</v>
      </c>
      <c r="C394" s="13" t="s">
        <v>241</v>
      </c>
      <c r="D394" s="13" t="s">
        <v>242</v>
      </c>
      <c r="E394" s="5" t="s">
        <v>425</v>
      </c>
      <c r="F394" s="5" t="s">
        <v>65</v>
      </c>
      <c r="G394" s="5" t="s">
        <v>21</v>
      </c>
      <c r="H394" s="5" t="s">
        <v>864</v>
      </c>
      <c r="I394" s="6" t="str">
        <f>HYPERLINK("https://www.jiji.com/jc/article?g=prt&amp;k=000000099.000063811","URLを開く")</f>
        <v>URLを開く</v>
      </c>
      <c r="J394" s="10" t="s">
        <v>23</v>
      </c>
      <c r="K394" s="10" t="s">
        <v>23</v>
      </c>
    </row>
    <row r="395" spans="1:11">
      <c r="A395" s="7" t="s">
        <v>684</v>
      </c>
      <c r="B395" s="7" t="s">
        <v>345</v>
      </c>
      <c r="C395" s="13" t="s">
        <v>244</v>
      </c>
      <c r="D395" s="13" t="s">
        <v>160</v>
      </c>
      <c r="E395" s="5" t="s">
        <v>425</v>
      </c>
      <c r="F395" s="5" t="s">
        <v>65</v>
      </c>
      <c r="G395" s="5" t="s">
        <v>21</v>
      </c>
      <c r="H395" s="5" t="s">
        <v>865</v>
      </c>
      <c r="I395" s="6" t="str">
        <f>HYPERLINK("https://www.asahi.com/and_M/pressrelease/pre_23463667/","URLを開く")</f>
        <v>URLを開く</v>
      </c>
      <c r="J395" s="10" t="s">
        <v>23</v>
      </c>
      <c r="K395" s="10" t="s">
        <v>23</v>
      </c>
    </row>
    <row r="396" spans="1:11">
      <c r="A396" s="7" t="s">
        <v>684</v>
      </c>
      <c r="B396" s="7" t="s">
        <v>345</v>
      </c>
      <c r="C396" s="13" t="s">
        <v>246</v>
      </c>
      <c r="D396" s="13" t="s">
        <v>247</v>
      </c>
      <c r="E396" s="5" t="s">
        <v>425</v>
      </c>
      <c r="F396" s="5" t="s">
        <v>65</v>
      </c>
      <c r="G396" s="5" t="s">
        <v>21</v>
      </c>
      <c r="H396" s="5" t="s">
        <v>866</v>
      </c>
      <c r="I396" s="6" t="str">
        <f>HYPERLINK("https://toyokeizai.net/ud/pressrelease/6026213f77656160dc140000","URLを開く")</f>
        <v>URLを開く</v>
      </c>
      <c r="J396" s="10" t="s">
        <v>23</v>
      </c>
      <c r="K396" s="10" t="s">
        <v>23</v>
      </c>
    </row>
    <row r="397" spans="1:11">
      <c r="A397" s="7" t="s">
        <v>684</v>
      </c>
      <c r="B397" s="7" t="s">
        <v>345</v>
      </c>
      <c r="C397" s="13" t="s">
        <v>178</v>
      </c>
      <c r="D397" s="13" t="s">
        <v>179</v>
      </c>
      <c r="E397" s="5" t="s">
        <v>425</v>
      </c>
      <c r="F397" s="5" t="s">
        <v>65</v>
      </c>
      <c r="G397" s="5" t="s">
        <v>21</v>
      </c>
      <c r="H397" s="5" t="s">
        <v>867</v>
      </c>
      <c r="I397" s="6" t="str">
        <f>HYPERLINK("https://gendai.ismedia.jp/ud/pressrelease/602621767765618864180000","URLを開く")</f>
        <v>URLを開く</v>
      </c>
      <c r="J397" s="10" t="s">
        <v>23</v>
      </c>
      <c r="K397" s="10" t="s">
        <v>23</v>
      </c>
    </row>
    <row r="398" spans="1:11">
      <c r="A398" s="7" t="s">
        <v>684</v>
      </c>
      <c r="B398" s="7" t="s">
        <v>345</v>
      </c>
      <c r="C398" s="13" t="s">
        <v>250</v>
      </c>
      <c r="D398" s="13" t="s">
        <v>227</v>
      </c>
      <c r="E398" s="5" t="s">
        <v>425</v>
      </c>
      <c r="F398" s="5" t="s">
        <v>65</v>
      </c>
      <c r="G398" s="5" t="s">
        <v>27</v>
      </c>
      <c r="H398" s="5" t="s">
        <v>868</v>
      </c>
      <c r="I398" s="6" t="str">
        <f>HYPERLINK("https://www.sankei.com/economy/news/210212/prl2102120545-n1.html","URLを開く")</f>
        <v>URLを開く</v>
      </c>
      <c r="J398" s="10" t="s">
        <v>23</v>
      </c>
      <c r="K398" s="10" t="s">
        <v>23</v>
      </c>
    </row>
    <row r="399" spans="1:11">
      <c r="A399" s="7" t="s">
        <v>684</v>
      </c>
      <c r="B399" s="7" t="s">
        <v>345</v>
      </c>
      <c r="C399" s="13" t="s">
        <v>255</v>
      </c>
      <c r="D399" s="13" t="s">
        <v>256</v>
      </c>
      <c r="E399" s="5" t="s">
        <v>425</v>
      </c>
      <c r="F399" s="5" t="s">
        <v>65</v>
      </c>
      <c r="G399" s="5" t="s">
        <v>21</v>
      </c>
      <c r="H399" s="5" t="s">
        <v>869</v>
      </c>
      <c r="I399" s="6" t="str">
        <f>HYPERLINK("https://www.zaikei.co.jp/releases/1216563/","URLを開く")</f>
        <v>URLを開く</v>
      </c>
      <c r="J399" s="10" t="s">
        <v>23</v>
      </c>
      <c r="K399" s="10" t="s">
        <v>23</v>
      </c>
    </row>
    <row r="400" spans="1:11">
      <c r="A400" s="7" t="s">
        <v>684</v>
      </c>
      <c r="B400" s="7" t="s">
        <v>345</v>
      </c>
      <c r="C400" s="13" t="s">
        <v>258</v>
      </c>
      <c r="D400" s="13" t="s">
        <v>259</v>
      </c>
      <c r="E400" s="5" t="s">
        <v>870</v>
      </c>
      <c r="F400" s="5" t="s">
        <v>65</v>
      </c>
      <c r="G400" s="5" t="s">
        <v>21</v>
      </c>
      <c r="H400" s="5" t="s">
        <v>871</v>
      </c>
      <c r="I400" s="6" t="str">
        <f>HYPERLINK("https://number.bunshun.jp/ud/pressrelease/602620db776561967b010000","URLを開く")</f>
        <v>URLを開く</v>
      </c>
      <c r="J400" s="10" t="s">
        <v>23</v>
      </c>
      <c r="K400" s="10" t="s">
        <v>23</v>
      </c>
    </row>
    <row r="401" spans="1:11">
      <c r="A401" s="7" t="s">
        <v>684</v>
      </c>
      <c r="B401" s="7" t="s">
        <v>345</v>
      </c>
      <c r="C401" s="13" t="s">
        <v>50</v>
      </c>
      <c r="D401" s="13" t="s">
        <v>51</v>
      </c>
      <c r="E401" s="5" t="s">
        <v>872</v>
      </c>
      <c r="F401" s="5" t="s">
        <v>40</v>
      </c>
      <c r="G401" s="5" t="s">
        <v>33</v>
      </c>
      <c r="H401" s="5" t="s">
        <v>873</v>
      </c>
      <c r="I401" s="6" t="str">
        <f>HYPERLINK("https://news.yahoo.co.jp/articles/9f392f1b2527b2849c1947b80435bd9b1850c30d","URLを開く")</f>
        <v>URLを開く</v>
      </c>
      <c r="J401" s="10" t="s">
        <v>23</v>
      </c>
      <c r="K401" s="10" t="s">
        <v>23</v>
      </c>
    </row>
    <row r="402" spans="1:11">
      <c r="A402" s="7" t="s">
        <v>684</v>
      </c>
      <c r="B402" s="7" t="s">
        <v>345</v>
      </c>
      <c r="C402" s="13" t="s">
        <v>434</v>
      </c>
      <c r="D402" s="13" t="s">
        <v>435</v>
      </c>
      <c r="E402" s="5" t="s">
        <v>874</v>
      </c>
      <c r="F402" s="5" t="s">
        <v>88</v>
      </c>
      <c r="G402" s="5" t="s">
        <v>27</v>
      </c>
      <c r="H402" s="5" t="s">
        <v>875</v>
      </c>
      <c r="I402" s="6" t="str">
        <f>HYPERLINK("https://droptokyo.com/freshsnaps/ID/?id=285183","URLを開く")</f>
        <v>URLを開く</v>
      </c>
      <c r="J402" s="10" t="s">
        <v>23</v>
      </c>
      <c r="K402" s="10" t="s">
        <v>23</v>
      </c>
    </row>
    <row r="403" spans="1:11">
      <c r="A403" s="7" t="s">
        <v>684</v>
      </c>
      <c r="B403" s="7" t="s">
        <v>345</v>
      </c>
      <c r="C403" s="13" t="s">
        <v>434</v>
      </c>
      <c r="D403" s="13" t="s">
        <v>435</v>
      </c>
      <c r="E403" s="5" t="s">
        <v>876</v>
      </c>
      <c r="F403" s="5" t="s">
        <v>40</v>
      </c>
      <c r="G403" s="5" t="s">
        <v>27</v>
      </c>
      <c r="H403" s="5" t="s">
        <v>877</v>
      </c>
      <c r="I403" s="6" t="str">
        <f>HYPERLINK("https://droptokyo.com/freshsnaps/ID/?id=285432","URLを開く")</f>
        <v>URLを開く</v>
      </c>
      <c r="J403" s="10" t="s">
        <v>23</v>
      </c>
      <c r="K403" s="10" t="s">
        <v>23</v>
      </c>
    </row>
    <row r="404" spans="1:11">
      <c r="A404" s="7" t="s">
        <v>684</v>
      </c>
      <c r="B404" s="7" t="s">
        <v>345</v>
      </c>
      <c r="C404" s="13" t="s">
        <v>79</v>
      </c>
      <c r="D404" s="13" t="s">
        <v>80</v>
      </c>
      <c r="E404" s="5" t="s">
        <v>878</v>
      </c>
      <c r="F404" s="5" t="s">
        <v>65</v>
      </c>
      <c r="G404" s="5" t="s">
        <v>27</v>
      </c>
      <c r="H404" s="5" t="s">
        <v>879</v>
      </c>
      <c r="I404" s="6" t="str">
        <f>HYPERLINK("https://this.kiji.is/732703071561351168","URLを開く")</f>
        <v>URLを開く</v>
      </c>
      <c r="J404" s="10" t="s">
        <v>23</v>
      </c>
      <c r="K404" s="10" t="s">
        <v>23</v>
      </c>
    </row>
    <row r="405" spans="1:11">
      <c r="A405" s="7" t="s">
        <v>684</v>
      </c>
      <c r="B405" s="7" t="s">
        <v>345</v>
      </c>
      <c r="C405" s="13" t="s">
        <v>337</v>
      </c>
      <c r="D405" s="13" t="s">
        <v>338</v>
      </c>
      <c r="E405" s="5" t="s">
        <v>445</v>
      </c>
      <c r="F405" s="5" t="s">
        <v>93</v>
      </c>
      <c r="G405" s="5" t="s">
        <v>33</v>
      </c>
      <c r="H405" s="5" t="s">
        <v>880</v>
      </c>
      <c r="I405" s="6" t="str">
        <f>HYPERLINK("https://article.auone.jp/detail/1/6/12/26_12_r_20210212_1613113711326595","URLを開く")</f>
        <v>URLを開く</v>
      </c>
      <c r="J405" s="10" t="s">
        <v>23</v>
      </c>
      <c r="K405" s="10" t="s">
        <v>23</v>
      </c>
    </row>
    <row r="406" spans="1:11">
      <c r="A406" s="7" t="s">
        <v>684</v>
      </c>
      <c r="B406" s="7" t="s">
        <v>345</v>
      </c>
      <c r="C406" s="13" t="s">
        <v>142</v>
      </c>
      <c r="D406" s="13" t="s">
        <v>143</v>
      </c>
      <c r="E406" s="5" t="s">
        <v>445</v>
      </c>
      <c r="F406" s="5" t="s">
        <v>93</v>
      </c>
      <c r="G406" s="5" t="s">
        <v>33</v>
      </c>
      <c r="H406" s="5" t="s">
        <v>881</v>
      </c>
      <c r="I406" s="6" t="str">
        <f>HYPERLINK("https://news.goo.ne.jp/article/basketballking/sports/basketballking-307870.html","URLを開く")</f>
        <v>URLを開く</v>
      </c>
      <c r="J406" s="10" t="s">
        <v>23</v>
      </c>
      <c r="K406" s="10" t="s">
        <v>23</v>
      </c>
    </row>
    <row r="407" spans="1:11">
      <c r="A407" s="7" t="s">
        <v>684</v>
      </c>
      <c r="B407" s="7" t="s">
        <v>345</v>
      </c>
      <c r="C407" s="13" t="s">
        <v>42</v>
      </c>
      <c r="D407" s="13" t="s">
        <v>43</v>
      </c>
      <c r="E407" s="5" t="s">
        <v>445</v>
      </c>
      <c r="F407" s="5" t="s">
        <v>93</v>
      </c>
      <c r="G407" s="5" t="s">
        <v>33</v>
      </c>
      <c r="H407" s="5" t="s">
        <v>882</v>
      </c>
      <c r="I407" s="6" t="str">
        <f>HYPERLINK("https://news.line.me/issue/oa-basketballking/fz73ok6yjvxt","URLを開く")</f>
        <v>URLを開く</v>
      </c>
      <c r="J407" s="10" t="s">
        <v>23</v>
      </c>
      <c r="K407" s="10" t="s">
        <v>23</v>
      </c>
    </row>
    <row r="408" spans="1:11">
      <c r="A408" s="7" t="s">
        <v>684</v>
      </c>
      <c r="B408" s="7" t="s">
        <v>345</v>
      </c>
      <c r="C408" s="13" t="s">
        <v>444</v>
      </c>
      <c r="D408" s="13" t="s">
        <v>176</v>
      </c>
      <c r="E408" s="5" t="s">
        <v>445</v>
      </c>
      <c r="F408" s="5" t="s">
        <v>93</v>
      </c>
      <c r="G408" s="5" t="s">
        <v>27</v>
      </c>
      <c r="H408" s="5" t="s">
        <v>883</v>
      </c>
      <c r="I408" s="6" t="str">
        <f>HYPERLINK("https://basketballking.jp/news/world/nba/20210212/307870.html?cx_news=page2","URLを開く")</f>
        <v>URLを開く</v>
      </c>
      <c r="J408" s="10" t="s">
        <v>23</v>
      </c>
      <c r="K408" s="10" t="s">
        <v>23</v>
      </c>
    </row>
    <row r="409" spans="1:11">
      <c r="A409" s="7" t="s">
        <v>684</v>
      </c>
      <c r="B409" s="7" t="s">
        <v>345</v>
      </c>
      <c r="C409" s="13" t="s">
        <v>444</v>
      </c>
      <c r="D409" s="13" t="s">
        <v>176</v>
      </c>
      <c r="E409" s="5" t="s">
        <v>445</v>
      </c>
      <c r="F409" s="5" t="s">
        <v>93</v>
      </c>
      <c r="G409" s="5" t="s">
        <v>27</v>
      </c>
      <c r="H409" s="5" t="s">
        <v>884</v>
      </c>
      <c r="I409" s="6" t="str">
        <f>HYPERLINK("https://basketballking.jp/news/world/nba/20210212/307870.html?cx_news=page1","URLを開く")</f>
        <v>URLを開く</v>
      </c>
      <c r="J409" s="10" t="s">
        <v>23</v>
      </c>
      <c r="K409" s="10" t="s">
        <v>23</v>
      </c>
    </row>
    <row r="410" spans="1:11">
      <c r="A410" s="7" t="s">
        <v>684</v>
      </c>
      <c r="B410" s="7" t="s">
        <v>345</v>
      </c>
      <c r="C410" s="13" t="s">
        <v>444</v>
      </c>
      <c r="D410" s="13" t="s">
        <v>176</v>
      </c>
      <c r="E410" s="5" t="s">
        <v>445</v>
      </c>
      <c r="F410" s="5" t="s">
        <v>93</v>
      </c>
      <c r="G410" s="5" t="s">
        <v>27</v>
      </c>
      <c r="H410" s="5" t="s">
        <v>885</v>
      </c>
      <c r="I410" s="6" t="str">
        <f>HYPERLINK("https://basketballking.jp/news/world/nba/20210212/307870.html?cx_top=newarrival","URLを開く")</f>
        <v>URLを開く</v>
      </c>
      <c r="J410" s="10" t="s">
        <v>23</v>
      </c>
      <c r="K410" s="10" t="s">
        <v>23</v>
      </c>
    </row>
    <row r="411" spans="1:11">
      <c r="A411" s="7" t="s">
        <v>684</v>
      </c>
      <c r="B411" s="7" t="s">
        <v>345</v>
      </c>
      <c r="C411" s="13" t="s">
        <v>444</v>
      </c>
      <c r="D411" s="13" t="s">
        <v>176</v>
      </c>
      <c r="E411" s="5" t="s">
        <v>445</v>
      </c>
      <c r="F411" s="5" t="s">
        <v>93</v>
      </c>
      <c r="G411" s="5" t="s">
        <v>27</v>
      </c>
      <c r="H411" s="5" t="s">
        <v>886</v>
      </c>
      <c r="I411" s="6" t="str">
        <f>HYPERLINK("https://basketballking.jp/news/world/nba/20210212/307870.html?cx_top=topix","URLを開く")</f>
        <v>URLを開く</v>
      </c>
      <c r="J411" s="10" t="s">
        <v>23</v>
      </c>
      <c r="K411" s="10" t="s">
        <v>23</v>
      </c>
    </row>
    <row r="412" spans="1:11">
      <c r="A412" s="7" t="s">
        <v>684</v>
      </c>
      <c r="B412" s="7" t="s">
        <v>345</v>
      </c>
      <c r="C412" s="13" t="s">
        <v>282</v>
      </c>
      <c r="D412" s="13" t="s">
        <v>283</v>
      </c>
      <c r="E412" s="5" t="s">
        <v>887</v>
      </c>
      <c r="F412" s="5" t="s">
        <v>93</v>
      </c>
      <c r="G412" s="5" t="s">
        <v>33</v>
      </c>
      <c r="H412" s="5" t="s">
        <v>888</v>
      </c>
      <c r="I412" s="6" t="str">
        <f>HYPERLINK("https://sportsbull.jp/p/948595/","URLを開く")</f>
        <v>URLを開く</v>
      </c>
      <c r="J412" s="10" t="s">
        <v>23</v>
      </c>
      <c r="K412" s="10" t="s">
        <v>23</v>
      </c>
    </row>
    <row r="413" spans="1:11">
      <c r="A413" s="7" t="s">
        <v>684</v>
      </c>
      <c r="B413" s="7" t="s">
        <v>345</v>
      </c>
      <c r="C413" s="13" t="s">
        <v>146</v>
      </c>
      <c r="D413" s="13" t="s">
        <v>147</v>
      </c>
      <c r="E413" s="5" t="s">
        <v>889</v>
      </c>
      <c r="F413" s="5" t="s">
        <v>93</v>
      </c>
      <c r="G413" s="5" t="s">
        <v>33</v>
      </c>
      <c r="H413" s="5" t="s">
        <v>890</v>
      </c>
      <c r="I413" s="6" t="str">
        <f>HYPERLINK("http://topics.smt.docomo.ne.jp/article/basketballking/sports/basketballking-307870?fm=latestnews","URLを開く")</f>
        <v>URLを開く</v>
      </c>
      <c r="J413" s="10" t="s">
        <v>23</v>
      </c>
      <c r="K413" s="10" t="s">
        <v>23</v>
      </c>
    </row>
    <row r="414" spans="1:11">
      <c r="A414" s="7" t="s">
        <v>684</v>
      </c>
      <c r="B414" s="7" t="s">
        <v>345</v>
      </c>
      <c r="C414" s="13" t="s">
        <v>438</v>
      </c>
      <c r="D414" s="13" t="s">
        <v>439</v>
      </c>
      <c r="E414" s="5" t="s">
        <v>891</v>
      </c>
      <c r="F414" s="5" t="s">
        <v>65</v>
      </c>
      <c r="G414" s="5" t="s">
        <v>21</v>
      </c>
      <c r="H414" s="5" t="s">
        <v>892</v>
      </c>
      <c r="I414" s="6" t="str">
        <f>HYPERLINK("https://www.businesswire.com/news/home/20210211005939/en/NIKE-Inc.-Declares-0.275-Quarterly-Dividend","URLを開く")</f>
        <v>URLを開く</v>
      </c>
      <c r="J414" s="10" t="s">
        <v>23</v>
      </c>
      <c r="K414" s="10" t="s">
        <v>23</v>
      </c>
    </row>
    <row r="415" spans="1:11">
      <c r="A415" s="7" t="s">
        <v>684</v>
      </c>
      <c r="B415" s="7" t="s">
        <v>345</v>
      </c>
      <c r="C415" s="13" t="s">
        <v>462</v>
      </c>
      <c r="D415" s="13" t="s">
        <v>462</v>
      </c>
      <c r="E415" s="5" t="s">
        <v>893</v>
      </c>
      <c r="F415" s="5" t="s">
        <v>20</v>
      </c>
      <c r="G415" s="5" t="s">
        <v>33</v>
      </c>
      <c r="H415" s="5" t="s">
        <v>894</v>
      </c>
      <c r="I415" s="6" t="str">
        <f>HYPERLINK("https://finance.yahoo.co.jp/news/detail/20210212-10000011-dzh-market","URLを開く")</f>
        <v>URLを開く</v>
      </c>
      <c r="J415" s="10" t="s">
        <v>23</v>
      </c>
      <c r="K415" s="10" t="s">
        <v>23</v>
      </c>
    </row>
    <row r="416" spans="1:11">
      <c r="A416" s="7" t="s">
        <v>684</v>
      </c>
      <c r="B416" s="7" t="s">
        <v>345</v>
      </c>
      <c r="C416" s="13" t="s">
        <v>465</v>
      </c>
      <c r="D416" s="13" t="s">
        <v>466</v>
      </c>
      <c r="E416" s="5" t="s">
        <v>893</v>
      </c>
      <c r="F416" s="5" t="s">
        <v>20</v>
      </c>
      <c r="G416" s="5" t="s">
        <v>27</v>
      </c>
      <c r="H416" s="5" t="s">
        <v>895</v>
      </c>
      <c r="I416" s="6" t="str">
        <f>HYPERLINK("https://www.traders.co.jp/news/news_top.asp?page=1&amp;newscode=1609580&amp;type=1&amp;filter=ALL&amp;n=#news_top","URLを開く")</f>
        <v>URLを開く</v>
      </c>
      <c r="J416" s="10" t="s">
        <v>23</v>
      </c>
      <c r="K416" s="10" t="s">
        <v>23</v>
      </c>
    </row>
    <row r="417" spans="1:11">
      <c r="A417" s="7" t="s">
        <v>684</v>
      </c>
      <c r="B417" s="7" t="s">
        <v>345</v>
      </c>
      <c r="C417" s="13" t="s">
        <v>462</v>
      </c>
      <c r="D417" s="13" t="s">
        <v>462</v>
      </c>
      <c r="E417" s="5" t="s">
        <v>896</v>
      </c>
      <c r="F417" s="5" t="s">
        <v>20</v>
      </c>
      <c r="G417" s="5" t="s">
        <v>33</v>
      </c>
      <c r="H417" s="5" t="s">
        <v>897</v>
      </c>
      <c r="I417" s="6" t="str">
        <f>HYPERLINK("https://finance.yahoo.co.jp/news/detail/20210212-10000016-dzh-market","URLを開く")</f>
        <v>URLを開く</v>
      </c>
      <c r="J417" s="10" t="s">
        <v>23</v>
      </c>
      <c r="K417" s="10" t="s">
        <v>23</v>
      </c>
    </row>
    <row r="418" spans="1:11">
      <c r="A418" s="7" t="s">
        <v>684</v>
      </c>
      <c r="B418" s="7" t="s">
        <v>345</v>
      </c>
      <c r="C418" s="13" t="s">
        <v>898</v>
      </c>
      <c r="D418" s="13" t="s">
        <v>899</v>
      </c>
      <c r="E418" s="5" t="s">
        <v>900</v>
      </c>
      <c r="F418" s="5" t="s">
        <v>65</v>
      </c>
      <c r="G418" s="5" t="s">
        <v>27</v>
      </c>
      <c r="H418" s="5" t="s">
        <v>901</v>
      </c>
      <c r="I418" s="6" t="str">
        <f>HYPERLINK("https://mag.onyourmark.jp/2021/02/running_kega_study3/130854","URLを開く")</f>
        <v>URLを開く</v>
      </c>
      <c r="J418" s="10" t="s">
        <v>23</v>
      </c>
      <c r="K418" s="10" t="s">
        <v>23</v>
      </c>
    </row>
    <row r="419" spans="1:11">
      <c r="A419" s="7" t="s">
        <v>684</v>
      </c>
      <c r="B419" s="7" t="s">
        <v>345</v>
      </c>
      <c r="C419" s="13" t="s">
        <v>427</v>
      </c>
      <c r="D419" s="13" t="s">
        <v>428</v>
      </c>
      <c r="E419" s="5" t="s">
        <v>902</v>
      </c>
      <c r="F419" s="5" t="s">
        <v>40</v>
      </c>
      <c r="G419" s="5" t="s">
        <v>27</v>
      </c>
      <c r="H419" s="5" t="s">
        <v>903</v>
      </c>
      <c r="I419" s="6" t="str">
        <f>HYPERLINK("https://hypebeast.com/jp/2021/2/palace-spring-2021-collection-alice-cooper-come-to-my-church-release-info","URLを開く")</f>
        <v>URLを開く</v>
      </c>
      <c r="J419" s="10" t="s">
        <v>23</v>
      </c>
      <c r="K419" s="10" t="s">
        <v>23</v>
      </c>
    </row>
    <row r="420" spans="1:11">
      <c r="A420" s="7" t="s">
        <v>684</v>
      </c>
      <c r="B420" s="7" t="s">
        <v>345</v>
      </c>
      <c r="C420" s="13" t="s">
        <v>42</v>
      </c>
      <c r="D420" s="13" t="s">
        <v>43</v>
      </c>
      <c r="E420" s="5" t="s">
        <v>902</v>
      </c>
      <c r="F420" s="5" t="s">
        <v>40</v>
      </c>
      <c r="G420" s="5" t="s">
        <v>33</v>
      </c>
      <c r="H420" s="5" t="s">
        <v>904</v>
      </c>
      <c r="I420" s="6" t="str">
        <f>HYPERLINK("https://news.line.me/articles/oa-rp96641/40138d7fd304","URLを開く")</f>
        <v>URLを開く</v>
      </c>
      <c r="J420" s="10" t="s">
        <v>23</v>
      </c>
      <c r="K420" s="10" t="s">
        <v>23</v>
      </c>
    </row>
    <row r="421" spans="1:11">
      <c r="A421" s="7" t="s">
        <v>684</v>
      </c>
      <c r="B421" s="7" t="s">
        <v>345</v>
      </c>
      <c r="C421" s="13" t="s">
        <v>402</v>
      </c>
      <c r="D421" s="13" t="s">
        <v>271</v>
      </c>
      <c r="E421" s="5" t="s">
        <v>470</v>
      </c>
      <c r="F421" s="5" t="s">
        <v>40</v>
      </c>
      <c r="G421" s="5" t="s">
        <v>27</v>
      </c>
      <c r="H421" s="5" t="s">
        <v>905</v>
      </c>
      <c r="I421" s="6" t="str">
        <f>HYPERLINK("https://www.mensnonno.jp/post/70003/","URLを開く")</f>
        <v>URLを開く</v>
      </c>
      <c r="J421" s="10" t="s">
        <v>23</v>
      </c>
      <c r="K421" s="10" t="s">
        <v>23</v>
      </c>
    </row>
    <row r="422" spans="1:11">
      <c r="A422" s="7" t="s">
        <v>684</v>
      </c>
      <c r="B422" s="7" t="s">
        <v>345</v>
      </c>
      <c r="C422" s="13" t="s">
        <v>42</v>
      </c>
      <c r="D422" s="13" t="s">
        <v>43</v>
      </c>
      <c r="E422" s="5" t="s">
        <v>906</v>
      </c>
      <c r="F422" s="5" t="s">
        <v>88</v>
      </c>
      <c r="G422" s="5" t="s">
        <v>33</v>
      </c>
      <c r="H422" s="5" t="s">
        <v>907</v>
      </c>
      <c r="I422" s="6" t="str">
        <f>HYPERLINK("https://news.line.me/articles/oa-rp39638/15563be4f3fe","URLを開く")</f>
        <v>URLを開く</v>
      </c>
      <c r="J422" s="10" t="s">
        <v>23</v>
      </c>
      <c r="K422" s="10" t="s">
        <v>23</v>
      </c>
    </row>
    <row r="423" spans="1:11">
      <c r="A423" s="7" t="s">
        <v>684</v>
      </c>
      <c r="B423" s="7" t="s">
        <v>345</v>
      </c>
      <c r="C423" s="13" t="s">
        <v>507</v>
      </c>
      <c r="D423" s="13" t="s">
        <v>508</v>
      </c>
      <c r="E423" s="5" t="s">
        <v>906</v>
      </c>
      <c r="F423" s="5" t="s">
        <v>88</v>
      </c>
      <c r="G423" s="5" t="s">
        <v>27</v>
      </c>
      <c r="H423" s="5" t="s">
        <v>908</v>
      </c>
      <c r="I423" s="6" t="str">
        <f>HYPERLINK("https://www.vogue.co.jp/fashion/article/nike-go-flyease","URLを開く")</f>
        <v>URLを開く</v>
      </c>
      <c r="J423" s="10" t="s">
        <v>23</v>
      </c>
      <c r="K423" s="10" t="s">
        <v>23</v>
      </c>
    </row>
    <row r="424" spans="1:11">
      <c r="A424" s="7" t="s">
        <v>684</v>
      </c>
      <c r="B424" s="7" t="s">
        <v>345</v>
      </c>
      <c r="C424" s="13" t="s">
        <v>626</v>
      </c>
      <c r="D424" s="13" t="s">
        <v>627</v>
      </c>
      <c r="E424" s="5" t="s">
        <v>909</v>
      </c>
      <c r="F424" s="5" t="s">
        <v>40</v>
      </c>
      <c r="G424" s="5" t="s">
        <v>27</v>
      </c>
      <c r="H424" s="5" t="s">
        <v>910</v>
      </c>
      <c r="I424" s="6" t="str">
        <f>HYPERLINK("https://nlab.itmedia.co.jp/research/articles/118246/","URLを開く")</f>
        <v>URLを開く</v>
      </c>
      <c r="J424" s="10" t="s">
        <v>23</v>
      </c>
      <c r="K424" s="10" t="s">
        <v>23</v>
      </c>
    </row>
    <row r="425" spans="1:11">
      <c r="A425" s="7" t="s">
        <v>684</v>
      </c>
      <c r="B425" s="7" t="s">
        <v>345</v>
      </c>
      <c r="C425" s="13" t="s">
        <v>113</v>
      </c>
      <c r="D425" s="13" t="s">
        <v>104</v>
      </c>
      <c r="E425" s="5" t="s">
        <v>482</v>
      </c>
      <c r="F425" s="5" t="s">
        <v>40</v>
      </c>
      <c r="G425" s="5" t="s">
        <v>33</v>
      </c>
      <c r="H425" s="5" t="s">
        <v>911</v>
      </c>
      <c r="I425" s="6" t="str">
        <f>HYPERLINK("https://woman.excite.co.jp/article/lifestyle/rid_Fashionpress_69773/","URLを開く")</f>
        <v>URLを開く</v>
      </c>
      <c r="J425" s="10" t="s">
        <v>23</v>
      </c>
      <c r="K425" s="10" t="s">
        <v>23</v>
      </c>
    </row>
    <row r="426" spans="1:11">
      <c r="A426" s="7" t="s">
        <v>684</v>
      </c>
      <c r="B426" s="7" t="s">
        <v>345</v>
      </c>
      <c r="C426" s="13" t="s">
        <v>30</v>
      </c>
      <c r="D426" s="13" t="s">
        <v>31</v>
      </c>
      <c r="E426" s="5" t="s">
        <v>912</v>
      </c>
      <c r="F426" s="5" t="s">
        <v>40</v>
      </c>
      <c r="G426" s="5" t="s">
        <v>33</v>
      </c>
      <c r="H426" s="5" t="s">
        <v>913</v>
      </c>
      <c r="I426" s="6" t="str">
        <f>HYPERLINK("https://antenna.jp/articles/12491803","URLを開く")</f>
        <v>URLを開く</v>
      </c>
      <c r="J426" s="10" t="s">
        <v>23</v>
      </c>
      <c r="K426" s="10" t="s">
        <v>23</v>
      </c>
    </row>
    <row r="427" spans="1:11">
      <c r="A427" s="7" t="s">
        <v>684</v>
      </c>
      <c r="B427" s="7" t="s">
        <v>345</v>
      </c>
      <c r="C427" s="13" t="s">
        <v>914</v>
      </c>
      <c r="D427" s="13" t="s">
        <v>915</v>
      </c>
      <c r="E427" s="5" t="s">
        <v>912</v>
      </c>
      <c r="F427" s="5" t="s">
        <v>40</v>
      </c>
      <c r="G427" s="5" t="s">
        <v>27</v>
      </c>
      <c r="H427" s="5" t="s">
        <v>916</v>
      </c>
      <c r="I427" s="6" t="str">
        <f>HYPERLINK("https://www.fashion-press.net/news/69835","URLを開く")</f>
        <v>URLを開く</v>
      </c>
      <c r="J427" s="10" t="s">
        <v>23</v>
      </c>
      <c r="K427" s="10" t="s">
        <v>29</v>
      </c>
    </row>
    <row r="428" spans="1:11">
      <c r="A428" s="7" t="s">
        <v>684</v>
      </c>
      <c r="B428" s="7" t="s">
        <v>345</v>
      </c>
      <c r="C428" s="13" t="s">
        <v>142</v>
      </c>
      <c r="D428" s="13" t="s">
        <v>143</v>
      </c>
      <c r="E428" s="5" t="s">
        <v>912</v>
      </c>
      <c r="F428" s="5" t="s">
        <v>40</v>
      </c>
      <c r="G428" s="5" t="s">
        <v>33</v>
      </c>
      <c r="H428" s="5" t="s">
        <v>917</v>
      </c>
      <c r="I428" s="6" t="str">
        <f>HYPERLINK("https://news.goo.ne.jp/article/fashionpress/trend/fashionpress-69835.html","URLを開く")</f>
        <v>URLを開く</v>
      </c>
      <c r="J428" s="10" t="s">
        <v>23</v>
      </c>
      <c r="K428" s="10" t="s">
        <v>23</v>
      </c>
    </row>
    <row r="429" spans="1:11">
      <c r="A429" s="7" t="s">
        <v>684</v>
      </c>
      <c r="B429" s="7" t="s">
        <v>345</v>
      </c>
      <c r="C429" s="13" t="s">
        <v>42</v>
      </c>
      <c r="D429" s="13" t="s">
        <v>43</v>
      </c>
      <c r="E429" s="5" t="s">
        <v>912</v>
      </c>
      <c r="F429" s="5" t="s">
        <v>40</v>
      </c>
      <c r="G429" s="5" t="s">
        <v>33</v>
      </c>
      <c r="H429" s="5" t="s">
        <v>918</v>
      </c>
      <c r="I429" s="6" t="str">
        <f>HYPERLINK("https://news.line.me/articles/oa-rp45312/60123c79aeb7","URLを開く")</f>
        <v>URLを開く</v>
      </c>
      <c r="J429" s="10" t="s">
        <v>23</v>
      </c>
      <c r="K429" s="10" t="s">
        <v>23</v>
      </c>
    </row>
    <row r="430" spans="1:11">
      <c r="A430" s="7" t="s">
        <v>684</v>
      </c>
      <c r="B430" s="7" t="s">
        <v>345</v>
      </c>
      <c r="C430" s="13" t="s">
        <v>279</v>
      </c>
      <c r="D430" s="13" t="s">
        <v>43</v>
      </c>
      <c r="E430" s="5" t="s">
        <v>912</v>
      </c>
      <c r="F430" s="5" t="s">
        <v>40</v>
      </c>
      <c r="G430" s="5" t="s">
        <v>33</v>
      </c>
      <c r="H430" s="5" t="s">
        <v>919</v>
      </c>
      <c r="I430" s="6" t="str">
        <f>HYPERLINK("https://news.livedoor.com/article/detail/19685356/","URLを開く")</f>
        <v>URLを開く</v>
      </c>
      <c r="J430" s="10" t="s">
        <v>23</v>
      </c>
      <c r="K430" s="10" t="s">
        <v>23</v>
      </c>
    </row>
    <row r="431" spans="1:11">
      <c r="A431" s="7" t="s">
        <v>684</v>
      </c>
      <c r="B431" s="7" t="s">
        <v>345</v>
      </c>
      <c r="C431" s="13" t="s">
        <v>165</v>
      </c>
      <c r="D431" s="13" t="s">
        <v>166</v>
      </c>
      <c r="E431" s="5" t="s">
        <v>912</v>
      </c>
      <c r="F431" s="5" t="s">
        <v>40</v>
      </c>
      <c r="G431" s="5" t="s">
        <v>33</v>
      </c>
      <c r="H431" s="5" t="s">
        <v>920</v>
      </c>
      <c r="I431" s="6" t="str">
        <f>HYPERLINK("https://trilltrill.jp/articles/1790791","URLを開く")</f>
        <v>URLを開く</v>
      </c>
      <c r="J431" s="10" t="s">
        <v>23</v>
      </c>
      <c r="K431" s="10" t="s">
        <v>23</v>
      </c>
    </row>
    <row r="432" spans="1:11">
      <c r="A432" s="7" t="s">
        <v>684</v>
      </c>
      <c r="B432" s="7" t="s">
        <v>345</v>
      </c>
      <c r="C432" s="13" t="s">
        <v>146</v>
      </c>
      <c r="D432" s="13" t="s">
        <v>147</v>
      </c>
      <c r="E432" s="5" t="s">
        <v>921</v>
      </c>
      <c r="F432" s="5" t="s">
        <v>40</v>
      </c>
      <c r="G432" s="5" t="s">
        <v>33</v>
      </c>
      <c r="H432" s="5" t="s">
        <v>922</v>
      </c>
      <c r="I432" s="6" t="str">
        <f>HYPERLINK("http://topics.smt.docomo.ne.jp/article/fashionpress/trend/fashionpress-69835?fm=latestnews","URLを開く")</f>
        <v>URLを開く</v>
      </c>
      <c r="J432" s="10" t="s">
        <v>23</v>
      </c>
      <c r="K432" s="10" t="s">
        <v>23</v>
      </c>
    </row>
    <row r="433" spans="1:11">
      <c r="A433" s="7" t="s">
        <v>684</v>
      </c>
      <c r="B433" s="7" t="s">
        <v>345</v>
      </c>
      <c r="C433" s="13" t="s">
        <v>337</v>
      </c>
      <c r="D433" s="13" t="s">
        <v>338</v>
      </c>
      <c r="E433" s="5" t="s">
        <v>97</v>
      </c>
      <c r="F433" s="5" t="s">
        <v>40</v>
      </c>
      <c r="G433" s="5" t="s">
        <v>33</v>
      </c>
      <c r="H433" s="5" t="s">
        <v>923</v>
      </c>
      <c r="I433" s="6" t="str">
        <f>HYPERLINK("https://article.auone.jp/detail/1/1/1/37_1_r_20210212_1613106731934278","URLを開く")</f>
        <v>URLを開く</v>
      </c>
      <c r="J433" s="10" t="s">
        <v>23</v>
      </c>
      <c r="K433" s="10" t="s">
        <v>23</v>
      </c>
    </row>
    <row r="434" spans="1:11">
      <c r="A434" s="7" t="s">
        <v>684</v>
      </c>
      <c r="B434" s="7" t="s">
        <v>345</v>
      </c>
      <c r="C434" s="13" t="s">
        <v>201</v>
      </c>
      <c r="D434" s="13" t="s">
        <v>202</v>
      </c>
      <c r="E434" s="5" t="s">
        <v>97</v>
      </c>
      <c r="F434" s="5" t="s">
        <v>40</v>
      </c>
      <c r="G434" s="5" t="s">
        <v>33</v>
      </c>
      <c r="H434" s="5" t="s">
        <v>924</v>
      </c>
      <c r="I434" s="6" t="str">
        <f>HYPERLINK("https://news.biglobe.ne.jp/trend/0212/mnn_210212_2650408751.html","URLを開く")</f>
        <v>URLを開く</v>
      </c>
      <c r="J434" s="10" t="s">
        <v>23</v>
      </c>
      <c r="K434" s="10" t="s">
        <v>23</v>
      </c>
    </row>
    <row r="435" spans="1:11">
      <c r="A435" s="7" t="s">
        <v>684</v>
      </c>
      <c r="B435" s="7" t="s">
        <v>345</v>
      </c>
      <c r="C435" s="13" t="s">
        <v>109</v>
      </c>
      <c r="D435" s="13" t="s">
        <v>110</v>
      </c>
      <c r="E435" s="5" t="s">
        <v>97</v>
      </c>
      <c r="F435" s="5" t="s">
        <v>40</v>
      </c>
      <c r="G435" s="5" t="s">
        <v>33</v>
      </c>
      <c r="H435" s="5" t="s">
        <v>925</v>
      </c>
      <c r="I435" s="6" t="str">
        <f>HYPERLINK("https://news.infoseek.co.jp/article/mynavi_2196291","URLを開く")</f>
        <v>URLを開く</v>
      </c>
      <c r="J435" s="10" t="s">
        <v>23</v>
      </c>
      <c r="K435" s="10" t="s">
        <v>23</v>
      </c>
    </row>
    <row r="436" spans="1:11">
      <c r="A436" s="7" t="s">
        <v>684</v>
      </c>
      <c r="B436" s="7" t="s">
        <v>345</v>
      </c>
      <c r="C436" s="13" t="s">
        <v>109</v>
      </c>
      <c r="D436" s="13" t="s">
        <v>110</v>
      </c>
      <c r="E436" s="5" t="s">
        <v>97</v>
      </c>
      <c r="F436" s="5" t="s">
        <v>40</v>
      </c>
      <c r="G436" s="5" t="s">
        <v>33</v>
      </c>
      <c r="H436" s="5" t="s">
        <v>926</v>
      </c>
      <c r="I436" s="6" t="str">
        <f>HYPERLINK("https://news.infoseek.co.jp/article/mynavi_2196291/","URLを開く")</f>
        <v>URLを開く</v>
      </c>
      <c r="J436" s="10" t="s">
        <v>23</v>
      </c>
      <c r="K436" s="10" t="s">
        <v>23</v>
      </c>
    </row>
    <row r="437" spans="1:11">
      <c r="A437" s="7" t="s">
        <v>684</v>
      </c>
      <c r="B437" s="7" t="s">
        <v>345</v>
      </c>
      <c r="C437" s="13" t="s">
        <v>42</v>
      </c>
      <c r="D437" s="13" t="s">
        <v>43</v>
      </c>
      <c r="E437" s="5" t="s">
        <v>97</v>
      </c>
      <c r="F437" s="5" t="s">
        <v>40</v>
      </c>
      <c r="G437" s="5" t="s">
        <v>33</v>
      </c>
      <c r="H437" s="5" t="s">
        <v>927</v>
      </c>
      <c r="I437" s="6" t="str">
        <f>HYPERLINK("https://news.line.me/articles/oa-rp73180/4b273295531e","URLを開く")</f>
        <v>URLを開く</v>
      </c>
      <c r="J437" s="10" t="s">
        <v>23</v>
      </c>
      <c r="K437" s="10" t="s">
        <v>23</v>
      </c>
    </row>
    <row r="438" spans="1:11">
      <c r="A438" s="7" t="s">
        <v>684</v>
      </c>
      <c r="B438" s="7" t="s">
        <v>345</v>
      </c>
      <c r="C438" s="13" t="s">
        <v>279</v>
      </c>
      <c r="D438" s="13" t="s">
        <v>43</v>
      </c>
      <c r="E438" s="5" t="s">
        <v>97</v>
      </c>
      <c r="F438" s="5" t="s">
        <v>40</v>
      </c>
      <c r="G438" s="5" t="s">
        <v>33</v>
      </c>
      <c r="H438" s="5" t="s">
        <v>928</v>
      </c>
      <c r="I438" s="6" t="str">
        <f>HYPERLINK("https://news.livedoor.com/article/detail/19685742/","URLを開く")</f>
        <v>URLを開く</v>
      </c>
      <c r="J438" s="10" t="s">
        <v>23</v>
      </c>
      <c r="K438" s="10" t="s">
        <v>23</v>
      </c>
    </row>
    <row r="439" spans="1:11">
      <c r="A439" s="7" t="s">
        <v>684</v>
      </c>
      <c r="B439" s="7" t="s">
        <v>345</v>
      </c>
      <c r="C439" s="13" t="s">
        <v>354</v>
      </c>
      <c r="D439" s="13" t="s">
        <v>80</v>
      </c>
      <c r="E439" s="5" t="s">
        <v>97</v>
      </c>
      <c r="F439" s="5" t="s">
        <v>40</v>
      </c>
      <c r="G439" s="5" t="s">
        <v>33</v>
      </c>
      <c r="H439" s="5" t="s">
        <v>929</v>
      </c>
      <c r="I439" s="6" t="str">
        <f>HYPERLINK("https://newscollect.jp/article/?id=732827232956104704","URLを開く")</f>
        <v>URLを開く</v>
      </c>
      <c r="J439" s="10" t="s">
        <v>23</v>
      </c>
      <c r="K439" s="10" t="s">
        <v>23</v>
      </c>
    </row>
    <row r="440" spans="1:11">
      <c r="A440" s="7" t="s">
        <v>684</v>
      </c>
      <c r="B440" s="7" t="s">
        <v>345</v>
      </c>
      <c r="C440" s="13" t="s">
        <v>930</v>
      </c>
      <c r="D440" s="13" t="s">
        <v>80</v>
      </c>
      <c r="E440" s="5" t="s">
        <v>97</v>
      </c>
      <c r="F440" s="5" t="s">
        <v>40</v>
      </c>
      <c r="G440" s="5" t="s">
        <v>33</v>
      </c>
      <c r="H440" s="5" t="s">
        <v>931</v>
      </c>
      <c r="I440" s="6" t="str">
        <f>HYPERLINK("https://entameplus.jp/article/index.php?id=732827232956104704","URLを開く")</f>
        <v>URLを開く</v>
      </c>
      <c r="J440" s="10" t="s">
        <v>23</v>
      </c>
      <c r="K440" s="10" t="s">
        <v>23</v>
      </c>
    </row>
    <row r="441" spans="1:11">
      <c r="A441" s="7" t="s">
        <v>684</v>
      </c>
      <c r="B441" s="7" t="s">
        <v>345</v>
      </c>
      <c r="C441" s="13" t="s">
        <v>162</v>
      </c>
      <c r="D441" s="13" t="s">
        <v>163</v>
      </c>
      <c r="E441" s="5" t="s">
        <v>97</v>
      </c>
      <c r="F441" s="5" t="s">
        <v>40</v>
      </c>
      <c r="G441" s="5" t="s">
        <v>33</v>
      </c>
      <c r="H441" s="5" t="s">
        <v>932</v>
      </c>
      <c r="I441" s="6" t="str">
        <f>HYPERLINK("https://gunosy.com/articles/ecnOT","URLを開く")</f>
        <v>URLを開く</v>
      </c>
      <c r="J441" s="10" t="s">
        <v>23</v>
      </c>
      <c r="K441" s="10" t="s">
        <v>23</v>
      </c>
    </row>
    <row r="442" spans="1:11">
      <c r="A442" s="7" t="s">
        <v>684</v>
      </c>
      <c r="B442" s="7" t="s">
        <v>345</v>
      </c>
      <c r="C442" s="13" t="s">
        <v>238</v>
      </c>
      <c r="D442" s="13" t="s">
        <v>239</v>
      </c>
      <c r="E442" s="5" t="s">
        <v>97</v>
      </c>
      <c r="F442" s="5" t="s">
        <v>40</v>
      </c>
      <c r="G442" s="5" t="s">
        <v>33</v>
      </c>
      <c r="H442" s="5" t="s">
        <v>933</v>
      </c>
      <c r="I442" s="6" t="str">
        <f>HYPERLINK("https://news.nicovideo.jp/watch/nw8928700","URLを開く")</f>
        <v>URLを開く</v>
      </c>
      <c r="J442" s="10" t="s">
        <v>23</v>
      </c>
      <c r="K442" s="10" t="s">
        <v>23</v>
      </c>
    </row>
    <row r="443" spans="1:11">
      <c r="A443" s="7" t="s">
        <v>684</v>
      </c>
      <c r="B443" s="7" t="s">
        <v>345</v>
      </c>
      <c r="C443" s="13" t="s">
        <v>934</v>
      </c>
      <c r="D443" s="13" t="s">
        <v>935</v>
      </c>
      <c r="E443" s="5" t="s">
        <v>97</v>
      </c>
      <c r="F443" s="5" t="s">
        <v>40</v>
      </c>
      <c r="G443" s="5" t="s">
        <v>27</v>
      </c>
      <c r="H443" s="5" t="s">
        <v>936</v>
      </c>
      <c r="I443" s="6" t="str">
        <f>HYPERLINK("https://news.mynavi.jp/article/20210212-1725704/","URLを開く")</f>
        <v>URLを開く</v>
      </c>
      <c r="J443" s="10" t="s">
        <v>23</v>
      </c>
      <c r="K443" s="10" t="s">
        <v>23</v>
      </c>
    </row>
    <row r="444" spans="1:11">
      <c r="A444" s="7" t="s">
        <v>684</v>
      </c>
      <c r="B444" s="7" t="s">
        <v>345</v>
      </c>
      <c r="C444" s="13" t="s">
        <v>342</v>
      </c>
      <c r="D444" s="13" t="s">
        <v>343</v>
      </c>
      <c r="E444" s="5" t="s">
        <v>97</v>
      </c>
      <c r="F444" s="5" t="s">
        <v>40</v>
      </c>
      <c r="G444" s="5" t="s">
        <v>33</v>
      </c>
      <c r="H444" s="5" t="s">
        <v>937</v>
      </c>
      <c r="I444" s="6" t="str">
        <f>HYPERLINK("https://news.merumo.ne.jp/article/genre/10463596","URLを開く")</f>
        <v>URLを開く</v>
      </c>
      <c r="J444" s="10" t="s">
        <v>23</v>
      </c>
      <c r="K444" s="10" t="s">
        <v>23</v>
      </c>
    </row>
    <row r="445" spans="1:11">
      <c r="A445" s="7" t="s">
        <v>684</v>
      </c>
      <c r="B445" s="7" t="s">
        <v>345</v>
      </c>
      <c r="C445" s="13" t="s">
        <v>279</v>
      </c>
      <c r="D445" s="13" t="s">
        <v>43</v>
      </c>
      <c r="E445" s="5" t="s">
        <v>938</v>
      </c>
      <c r="F445" s="5" t="s">
        <v>40</v>
      </c>
      <c r="G445" s="5" t="s">
        <v>33</v>
      </c>
      <c r="H445" s="5" t="s">
        <v>939</v>
      </c>
      <c r="I445" s="6" t="str">
        <f>HYPERLINK("https://news.livedoor.com/article/detail/19685229/","URLを開く")</f>
        <v>URLを開く</v>
      </c>
      <c r="J445" s="10" t="s">
        <v>23</v>
      </c>
      <c r="K445" s="10" t="s">
        <v>23</v>
      </c>
    </row>
    <row r="446" spans="1:11">
      <c r="A446" s="7" t="s">
        <v>684</v>
      </c>
      <c r="B446" s="7" t="s">
        <v>345</v>
      </c>
      <c r="C446" s="13" t="s">
        <v>608</v>
      </c>
      <c r="D446" s="13" t="s">
        <v>609</v>
      </c>
      <c r="E446" s="5" t="s">
        <v>938</v>
      </c>
      <c r="F446" s="5" t="s">
        <v>40</v>
      </c>
      <c r="G446" s="5" t="s">
        <v>27</v>
      </c>
      <c r="H446" s="5" t="s">
        <v>940</v>
      </c>
      <c r="I446" s="6" t="str">
        <f>HYPERLINK("http://www.mylifenews.net/sports/2021/02/zxzx-2k-boost-pure.html","URLを開く")</f>
        <v>URLを開く</v>
      </c>
      <c r="J446" s="10" t="s">
        <v>23</v>
      </c>
      <c r="K446" s="10" t="s">
        <v>23</v>
      </c>
    </row>
    <row r="447" spans="1:11">
      <c r="A447" s="7" t="s">
        <v>684</v>
      </c>
      <c r="B447" s="7" t="s">
        <v>345</v>
      </c>
      <c r="C447" s="13" t="s">
        <v>458</v>
      </c>
      <c r="D447" s="13" t="s">
        <v>459</v>
      </c>
      <c r="E447" s="5" t="s">
        <v>941</v>
      </c>
      <c r="F447" s="5" t="s">
        <v>40</v>
      </c>
      <c r="G447" s="5" t="s">
        <v>21</v>
      </c>
      <c r="H447" s="5" t="s">
        <v>942</v>
      </c>
      <c r="I447" s="6" t="str">
        <f>HYPERLINK("https://www.nikkei.com/article/DGXLRSP605022_S1A210C2000000/","URLを開く")</f>
        <v>URLを開く</v>
      </c>
      <c r="J447" s="10" t="s">
        <v>23</v>
      </c>
      <c r="K447" s="10" t="s">
        <v>23</v>
      </c>
    </row>
    <row r="448" spans="1:11">
      <c r="A448" s="7" t="s">
        <v>684</v>
      </c>
      <c r="B448" s="7" t="s">
        <v>345</v>
      </c>
      <c r="C448" s="13" t="s">
        <v>943</v>
      </c>
      <c r="D448" s="13" t="s">
        <v>944</v>
      </c>
      <c r="E448" s="5" t="s">
        <v>945</v>
      </c>
      <c r="F448" s="5" t="s">
        <v>40</v>
      </c>
      <c r="G448" s="5" t="s">
        <v>27</v>
      </c>
      <c r="H448" s="5" t="s">
        <v>946</v>
      </c>
      <c r="I448" s="6" t="str">
        <f>HYPERLINK("http://okmusic.jp/news/413481/","URLを開く")</f>
        <v>URLを開く</v>
      </c>
      <c r="J448" s="10" t="s">
        <v>23</v>
      </c>
      <c r="K448" s="10" t="s">
        <v>23</v>
      </c>
    </row>
    <row r="449" spans="1:11">
      <c r="A449" s="7" t="s">
        <v>684</v>
      </c>
      <c r="B449" s="7" t="s">
        <v>345</v>
      </c>
      <c r="C449" s="13" t="s">
        <v>42</v>
      </c>
      <c r="D449" s="13" t="s">
        <v>43</v>
      </c>
      <c r="E449" s="5" t="s">
        <v>947</v>
      </c>
      <c r="F449" s="5" t="s">
        <v>40</v>
      </c>
      <c r="G449" s="5" t="s">
        <v>33</v>
      </c>
      <c r="H449" s="5" t="s">
        <v>948</v>
      </c>
      <c r="I449" s="6" t="str">
        <f>HYPERLINK("https://news.line.me/articles/oa-rp27611/bf78874a09aa","URLを開く")</f>
        <v>URLを開く</v>
      </c>
      <c r="J449" s="10" t="s">
        <v>23</v>
      </c>
      <c r="K449" s="10" t="s">
        <v>23</v>
      </c>
    </row>
    <row r="450" spans="1:11">
      <c r="A450" s="7" t="s">
        <v>684</v>
      </c>
      <c r="B450" s="7" t="s">
        <v>345</v>
      </c>
      <c r="C450" s="13" t="s">
        <v>103</v>
      </c>
      <c r="D450" s="13" t="s">
        <v>104</v>
      </c>
      <c r="E450" s="5" t="s">
        <v>949</v>
      </c>
      <c r="F450" s="5" t="s">
        <v>40</v>
      </c>
      <c r="G450" s="5" t="s">
        <v>33</v>
      </c>
      <c r="H450" s="5" t="s">
        <v>950</v>
      </c>
      <c r="I450" s="6" t="str">
        <f>HYPERLINK("https://www.excite.co.jp/news/article/Qetic_388027/","URLを開く")</f>
        <v>URLを開く</v>
      </c>
      <c r="J450" s="10" t="s">
        <v>23</v>
      </c>
      <c r="K450" s="10" t="s">
        <v>23</v>
      </c>
    </row>
    <row r="451" spans="1:11">
      <c r="A451" s="7" t="s">
        <v>684</v>
      </c>
      <c r="B451" s="7" t="s">
        <v>345</v>
      </c>
      <c r="C451" s="13" t="s">
        <v>827</v>
      </c>
      <c r="D451" s="13" t="s">
        <v>828</v>
      </c>
      <c r="E451" s="5" t="s">
        <v>949</v>
      </c>
      <c r="F451" s="5" t="s">
        <v>40</v>
      </c>
      <c r="G451" s="5" t="s">
        <v>27</v>
      </c>
      <c r="H451" s="5" t="s">
        <v>951</v>
      </c>
      <c r="I451" s="6" t="str">
        <f>HYPERLINK("https://qetic.jp/life-fashion/adidas-forum-84-210212/388027/","URLを開く")</f>
        <v>URLを開く</v>
      </c>
      <c r="J451" s="10" t="s">
        <v>23</v>
      </c>
      <c r="K451" s="10" t="s">
        <v>23</v>
      </c>
    </row>
    <row r="452" spans="1:11">
      <c r="A452" s="7" t="s">
        <v>684</v>
      </c>
      <c r="B452" s="7" t="s">
        <v>345</v>
      </c>
      <c r="C452" s="13" t="s">
        <v>238</v>
      </c>
      <c r="D452" s="13" t="s">
        <v>239</v>
      </c>
      <c r="E452" s="5" t="s">
        <v>949</v>
      </c>
      <c r="F452" s="5" t="s">
        <v>40</v>
      </c>
      <c r="G452" s="5" t="s">
        <v>33</v>
      </c>
      <c r="H452" s="5" t="s">
        <v>952</v>
      </c>
      <c r="I452" s="6" t="str">
        <f>HYPERLINK("https://news.nicovideo.jp/watch/nw8927623","URLを開く")</f>
        <v>URLを開く</v>
      </c>
      <c r="J452" s="10" t="s">
        <v>23</v>
      </c>
      <c r="K452" s="10" t="s">
        <v>23</v>
      </c>
    </row>
    <row r="453" spans="1:11">
      <c r="A453" s="7" t="s">
        <v>684</v>
      </c>
      <c r="B453" s="7" t="s">
        <v>345</v>
      </c>
      <c r="C453" s="13" t="s">
        <v>50</v>
      </c>
      <c r="D453" s="13" t="s">
        <v>51</v>
      </c>
      <c r="E453" s="5" t="s">
        <v>953</v>
      </c>
      <c r="F453" s="5" t="s">
        <v>40</v>
      </c>
      <c r="G453" s="5" t="s">
        <v>33</v>
      </c>
      <c r="H453" s="5" t="s">
        <v>954</v>
      </c>
      <c r="I453" s="6" t="str">
        <f>HYPERLINK("https://news.yahoo.co.jp/articles/6129456d3d24f2d258f21b6bda53315942bd201e","URLを開く")</f>
        <v>URLを開く</v>
      </c>
      <c r="J453" s="10" t="s">
        <v>23</v>
      </c>
      <c r="K453" s="10" t="s">
        <v>23</v>
      </c>
    </row>
    <row r="454" spans="1:11">
      <c r="A454" s="7" t="s">
        <v>684</v>
      </c>
      <c r="B454" s="7" t="s">
        <v>345</v>
      </c>
      <c r="C454" s="13" t="s">
        <v>103</v>
      </c>
      <c r="D454" s="13" t="s">
        <v>104</v>
      </c>
      <c r="E454" s="5" t="s">
        <v>955</v>
      </c>
      <c r="F454" s="5" t="s">
        <v>88</v>
      </c>
      <c r="G454" s="5" t="s">
        <v>33</v>
      </c>
      <c r="H454" s="5" t="s">
        <v>956</v>
      </c>
      <c r="I454" s="6" t="str">
        <f>HYPERLINK("https://www.excite.co.jp/news/article/Fashionsnap_article_2018-05-09_virgil-abloh-metgala/","URLを開く")</f>
        <v>URLを開く</v>
      </c>
      <c r="J454" s="10" t="s">
        <v>23</v>
      </c>
      <c r="K454" s="10" t="s">
        <v>23</v>
      </c>
    </row>
    <row r="455" spans="1:11">
      <c r="A455" s="7" t="s">
        <v>684</v>
      </c>
      <c r="B455" s="7" t="s">
        <v>345</v>
      </c>
      <c r="C455" s="13" t="s">
        <v>427</v>
      </c>
      <c r="D455" s="13" t="s">
        <v>428</v>
      </c>
      <c r="E455" s="5" t="s">
        <v>957</v>
      </c>
      <c r="F455" s="5" t="s">
        <v>88</v>
      </c>
      <c r="G455" s="5" t="s">
        <v>27</v>
      </c>
      <c r="H455" s="5" t="s">
        <v>958</v>
      </c>
      <c r="I455" s="6" t="str">
        <f>HYPERLINK("https://hypebeast.com/jp/2021/2/nike-air-max-90-rice-ball-release-info","URLを開く")</f>
        <v>URLを開く</v>
      </c>
      <c r="J455" s="10" t="s">
        <v>23</v>
      </c>
      <c r="K455" s="10" t="s">
        <v>23</v>
      </c>
    </row>
    <row r="456" spans="1:11">
      <c r="A456" s="7" t="s">
        <v>684</v>
      </c>
      <c r="B456" s="7" t="s">
        <v>345</v>
      </c>
      <c r="C456" s="13" t="s">
        <v>42</v>
      </c>
      <c r="D456" s="13" t="s">
        <v>43</v>
      </c>
      <c r="E456" s="5" t="s">
        <v>957</v>
      </c>
      <c r="F456" s="5" t="s">
        <v>88</v>
      </c>
      <c r="G456" s="5" t="s">
        <v>33</v>
      </c>
      <c r="H456" s="5" t="s">
        <v>959</v>
      </c>
      <c r="I456" s="6" t="str">
        <f>HYPERLINK("https://news.line.me/articles/oa-rp96641/032230e295e6","URLを開く")</f>
        <v>URLを開く</v>
      </c>
      <c r="J456" s="10" t="s">
        <v>23</v>
      </c>
      <c r="K456" s="10" t="s">
        <v>23</v>
      </c>
    </row>
    <row r="457" spans="1:11">
      <c r="A457" s="7" t="s">
        <v>684</v>
      </c>
      <c r="B457" s="7" t="s">
        <v>345</v>
      </c>
      <c r="C457" s="13" t="s">
        <v>30</v>
      </c>
      <c r="D457" s="13" t="s">
        <v>31</v>
      </c>
      <c r="E457" s="5" t="s">
        <v>960</v>
      </c>
      <c r="F457" s="5" t="s">
        <v>20</v>
      </c>
      <c r="G457" s="5" t="s">
        <v>33</v>
      </c>
      <c r="H457" s="5" t="s">
        <v>961</v>
      </c>
      <c r="I457" s="6" t="str">
        <f>HYPERLINK("https://antenna.jp/articles/12494288","URLを開く")</f>
        <v>URLを開く</v>
      </c>
      <c r="J457" s="10" t="s">
        <v>23</v>
      </c>
      <c r="K457" s="10" t="s">
        <v>23</v>
      </c>
    </row>
    <row r="458" spans="1:11">
      <c r="A458" s="7" t="s">
        <v>684</v>
      </c>
      <c r="B458" s="7" t="s">
        <v>345</v>
      </c>
      <c r="C458" s="13" t="s">
        <v>103</v>
      </c>
      <c r="D458" s="13" t="s">
        <v>104</v>
      </c>
      <c r="E458" s="5" t="s">
        <v>960</v>
      </c>
      <c r="F458" s="5" t="s">
        <v>20</v>
      </c>
      <c r="G458" s="5" t="s">
        <v>33</v>
      </c>
      <c r="H458" s="5" t="s">
        <v>962</v>
      </c>
      <c r="I458" s="6" t="str">
        <f>HYPERLINK("https://www.excite.co.jp/news/article/Oceans_2021-0212-8-ocn/","URLを開く")</f>
        <v>URLを開く</v>
      </c>
      <c r="J458" s="10" t="s">
        <v>23</v>
      </c>
      <c r="K458" s="10" t="s">
        <v>23</v>
      </c>
    </row>
    <row r="459" spans="1:11">
      <c r="A459" s="7" t="s">
        <v>684</v>
      </c>
      <c r="B459" s="7" t="s">
        <v>345</v>
      </c>
      <c r="C459" s="13" t="s">
        <v>681</v>
      </c>
      <c r="D459" s="13" t="s">
        <v>682</v>
      </c>
      <c r="E459" s="5" t="s">
        <v>960</v>
      </c>
      <c r="F459" s="5" t="s">
        <v>20</v>
      </c>
      <c r="G459" s="5" t="s">
        <v>27</v>
      </c>
      <c r="H459" s="5" t="s">
        <v>963</v>
      </c>
      <c r="I459" s="6" t="str">
        <f>HYPERLINK("https://oceans.tokyo.jp/fashion/2021-0212-8-ocn/","URLを開く")</f>
        <v>URLを開く</v>
      </c>
      <c r="J459" s="10" t="s">
        <v>23</v>
      </c>
      <c r="K459" s="10" t="s">
        <v>29</v>
      </c>
    </row>
    <row r="460" spans="1:11">
      <c r="A460" s="7" t="s">
        <v>684</v>
      </c>
      <c r="B460" s="7" t="s">
        <v>345</v>
      </c>
      <c r="C460" s="13" t="s">
        <v>46</v>
      </c>
      <c r="D460" s="13" t="s">
        <v>47</v>
      </c>
      <c r="E460" s="5" t="s">
        <v>964</v>
      </c>
      <c r="F460" s="5" t="s">
        <v>965</v>
      </c>
      <c r="G460" s="5" t="s">
        <v>33</v>
      </c>
      <c r="H460" s="5" t="s">
        <v>966</v>
      </c>
      <c r="I460" s="6" t="str">
        <f>HYPERLINK(" "," ")</f>
        <v xml:space="preserve"> </v>
      </c>
      <c r="J460" s="10" t="s">
        <v>23</v>
      </c>
      <c r="K460" s="10" t="s">
        <v>23</v>
      </c>
    </row>
    <row r="461" spans="1:11">
      <c r="A461" s="7" t="s">
        <v>684</v>
      </c>
      <c r="B461" s="7" t="s">
        <v>345</v>
      </c>
      <c r="C461" s="13" t="s">
        <v>718</v>
      </c>
      <c r="D461" s="13" t="s">
        <v>479</v>
      </c>
      <c r="E461" s="5" t="s">
        <v>967</v>
      </c>
      <c r="F461" s="5" t="s">
        <v>40</v>
      </c>
      <c r="G461" s="5" t="s">
        <v>27</v>
      </c>
      <c r="H461" s="5" t="s">
        <v>968</v>
      </c>
      <c r="I461" s="6" t="str">
        <f>HYPERLINK("https://www.elle.com/jp/fashion/g35487008/joyful-cute-accessory-210210-hns/","URLを開く")</f>
        <v>URLを開く</v>
      </c>
      <c r="J461" s="10" t="s">
        <v>23</v>
      </c>
      <c r="K461" s="10" t="s">
        <v>23</v>
      </c>
    </row>
    <row r="462" spans="1:11">
      <c r="A462" s="7" t="s">
        <v>684</v>
      </c>
      <c r="B462" s="7" t="s">
        <v>345</v>
      </c>
      <c r="C462" s="13" t="s">
        <v>142</v>
      </c>
      <c r="D462" s="13" t="s">
        <v>143</v>
      </c>
      <c r="E462" s="5" t="s">
        <v>132</v>
      </c>
      <c r="F462" s="5" t="s">
        <v>20</v>
      </c>
      <c r="G462" s="5" t="s">
        <v>33</v>
      </c>
      <c r="H462" s="5" t="s">
        <v>969</v>
      </c>
      <c r="I462" s="6" t="str">
        <f>HYPERLINK("https://news.goo.ne.jp/article/golfdigest_minna/sports/golfdigest_minna-5ef491bf8979f9143bb268c935b49a4d5cdfff07.html","URLを開く")</f>
        <v>URLを開く</v>
      </c>
      <c r="J462" s="10" t="s">
        <v>23</v>
      </c>
      <c r="K462" s="10" t="s">
        <v>23</v>
      </c>
    </row>
    <row r="463" spans="1:11">
      <c r="A463" s="7" t="s">
        <v>684</v>
      </c>
      <c r="B463" s="7" t="s">
        <v>345</v>
      </c>
      <c r="C463" s="13" t="s">
        <v>42</v>
      </c>
      <c r="D463" s="13" t="s">
        <v>43</v>
      </c>
      <c r="E463" s="5" t="s">
        <v>132</v>
      </c>
      <c r="F463" s="5" t="s">
        <v>20</v>
      </c>
      <c r="G463" s="5" t="s">
        <v>33</v>
      </c>
      <c r="H463" s="5" t="s">
        <v>970</v>
      </c>
      <c r="I463" s="6" t="str">
        <f>HYPERLINK("https://news.line.me/articles/oa-rp21493/8a245cf2c124","URLを開く")</f>
        <v>URLを開く</v>
      </c>
      <c r="J463" s="10" t="s">
        <v>23</v>
      </c>
      <c r="K463" s="10" t="s">
        <v>23</v>
      </c>
    </row>
    <row r="464" spans="1:11">
      <c r="A464" s="7" t="s">
        <v>684</v>
      </c>
      <c r="B464" s="7" t="s">
        <v>345</v>
      </c>
      <c r="C464" s="13" t="s">
        <v>546</v>
      </c>
      <c r="D464" s="13" t="s">
        <v>547</v>
      </c>
      <c r="E464" s="5" t="s">
        <v>132</v>
      </c>
      <c r="F464" s="5" t="s">
        <v>20</v>
      </c>
      <c r="G464" s="5" t="s">
        <v>27</v>
      </c>
      <c r="H464" s="5" t="s">
        <v>971</v>
      </c>
      <c r="I464" s="6" t="str">
        <f>HYPERLINK("https://www.golfdigest-minna.jp/_ct/17431046?ct=id&amp;fr=cl","URLを開く")</f>
        <v>URLを開く</v>
      </c>
      <c r="J464" s="10" t="s">
        <v>23</v>
      </c>
      <c r="K464" s="10" t="s">
        <v>23</v>
      </c>
    </row>
    <row r="465" spans="1:11">
      <c r="A465" s="7" t="s">
        <v>684</v>
      </c>
      <c r="B465" s="7" t="s">
        <v>345</v>
      </c>
      <c r="C465" s="13" t="s">
        <v>546</v>
      </c>
      <c r="D465" s="13" t="s">
        <v>547</v>
      </c>
      <c r="E465" s="5" t="s">
        <v>132</v>
      </c>
      <c r="F465" s="5" t="s">
        <v>20</v>
      </c>
      <c r="G465" s="5" t="s">
        <v>27</v>
      </c>
      <c r="H465" s="5" t="s">
        <v>972</v>
      </c>
      <c r="I465" s="6" t="str">
        <f>HYPERLINK("https://www.golfdigest-minna.jp/_ct/17431046","URLを開く")</f>
        <v>URLを開く</v>
      </c>
      <c r="J465" s="10" t="s">
        <v>23</v>
      </c>
      <c r="K465" s="10" t="s">
        <v>23</v>
      </c>
    </row>
    <row r="466" spans="1:11">
      <c r="A466" s="7" t="s">
        <v>684</v>
      </c>
      <c r="B466" s="7" t="s">
        <v>345</v>
      </c>
      <c r="C466" s="13" t="s">
        <v>546</v>
      </c>
      <c r="D466" s="13" t="s">
        <v>547</v>
      </c>
      <c r="E466" s="5" t="s">
        <v>132</v>
      </c>
      <c r="F466" s="5" t="s">
        <v>20</v>
      </c>
      <c r="G466" s="5" t="s">
        <v>27</v>
      </c>
      <c r="H466" s="5" t="s">
        <v>973</v>
      </c>
      <c r="I466" s="6" t="str">
        <f>HYPERLINK("https://www.golfdigest-minna.jp/_ct/17431046?o=0&amp;tg=GEAR","URLを開く")</f>
        <v>URLを開く</v>
      </c>
      <c r="J466" s="10" t="s">
        <v>23</v>
      </c>
      <c r="K466" s="10" t="s">
        <v>23</v>
      </c>
    </row>
    <row r="467" spans="1:11">
      <c r="A467" s="7" t="s">
        <v>684</v>
      </c>
      <c r="B467" s="7" t="s">
        <v>345</v>
      </c>
      <c r="C467" s="13" t="s">
        <v>546</v>
      </c>
      <c r="D467" s="13" t="s">
        <v>547</v>
      </c>
      <c r="E467" s="5" t="s">
        <v>132</v>
      </c>
      <c r="F467" s="5" t="s">
        <v>20</v>
      </c>
      <c r="G467" s="5" t="s">
        <v>27</v>
      </c>
      <c r="H467" s="5" t="s">
        <v>974</v>
      </c>
      <c r="I467" s="6" t="str">
        <f>HYPERLINK("https://www.golfdigest-minna.jp/_ct/17431046?o=0&amp;tg=tour","URLを開く")</f>
        <v>URLを開く</v>
      </c>
      <c r="J467" s="10" t="s">
        <v>23</v>
      </c>
      <c r="K467" s="10" t="s">
        <v>23</v>
      </c>
    </row>
    <row r="468" spans="1:11">
      <c r="A468" s="7" t="s">
        <v>684</v>
      </c>
      <c r="B468" s="7" t="s">
        <v>345</v>
      </c>
      <c r="C468" s="13" t="s">
        <v>50</v>
      </c>
      <c r="D468" s="13" t="s">
        <v>51</v>
      </c>
      <c r="E468" s="5" t="s">
        <v>975</v>
      </c>
      <c r="F468" s="5" t="s">
        <v>20</v>
      </c>
      <c r="G468" s="5" t="s">
        <v>33</v>
      </c>
      <c r="H468" s="5" t="s">
        <v>976</v>
      </c>
      <c r="I468" s="6" t="str">
        <f>HYPERLINK("https://news.yahoo.co.jp/articles/83ced67cd7aebc784c2d55f6f98fa0f0824c1d57","URLを開く")</f>
        <v>URLを開く</v>
      </c>
      <c r="J468" s="10" t="s">
        <v>23</v>
      </c>
      <c r="K468" s="10" t="s">
        <v>23</v>
      </c>
    </row>
    <row r="469" spans="1:11">
      <c r="A469" s="7" t="s">
        <v>684</v>
      </c>
      <c r="B469" s="7" t="s">
        <v>345</v>
      </c>
      <c r="C469" s="13" t="s">
        <v>146</v>
      </c>
      <c r="D469" s="13" t="s">
        <v>147</v>
      </c>
      <c r="E469" s="5" t="s">
        <v>977</v>
      </c>
      <c r="F469" s="5" t="s">
        <v>20</v>
      </c>
      <c r="G469" s="5" t="s">
        <v>33</v>
      </c>
      <c r="H469" s="5" t="s">
        <v>978</v>
      </c>
      <c r="I469" s="6" t="str">
        <f>HYPERLINK("http://topics.smt.docomo.ne.jp/article/golfdigest_minna/sports/golfdigest_minna-5ef491bf8979f9143bb268c935b49a4d5cdfff07?fm=latestnews","URLを開く")</f>
        <v>URLを開く</v>
      </c>
      <c r="J469" s="10" t="s">
        <v>23</v>
      </c>
      <c r="K469" s="10" t="s">
        <v>23</v>
      </c>
    </row>
    <row r="470" spans="1:11">
      <c r="A470" s="7" t="s">
        <v>684</v>
      </c>
      <c r="B470" s="7" t="s">
        <v>345</v>
      </c>
      <c r="C470" s="13" t="s">
        <v>979</v>
      </c>
      <c r="D470" s="13" t="s">
        <v>980</v>
      </c>
      <c r="E470" s="5" t="s">
        <v>981</v>
      </c>
      <c r="F470" s="5" t="s">
        <v>20</v>
      </c>
      <c r="G470" s="5" t="s">
        <v>27</v>
      </c>
      <c r="H470" s="5" t="s">
        <v>982</v>
      </c>
      <c r="I470" s="6" t="str">
        <f>HYPERLINK("http://www.sen-i-news.co.jp/seninews/viewArticle.do?data.articleId=364003&amp;data.newskey=41f9a9d7f270f68e6387d8177d5bd902&amp;data.offset=0","URLを開く")</f>
        <v>URLを開く</v>
      </c>
      <c r="J470" s="10" t="s">
        <v>23</v>
      </c>
      <c r="K470" s="10" t="s">
        <v>23</v>
      </c>
    </row>
    <row r="471" spans="1:11">
      <c r="A471" s="7" t="s">
        <v>684</v>
      </c>
      <c r="B471" s="7" t="s">
        <v>345</v>
      </c>
      <c r="C471" s="13" t="s">
        <v>983</v>
      </c>
      <c r="D471" s="13" t="s">
        <v>508</v>
      </c>
      <c r="E471" s="5" t="s">
        <v>984</v>
      </c>
      <c r="F471" s="5" t="s">
        <v>40</v>
      </c>
      <c r="G471" s="5" t="s">
        <v>27</v>
      </c>
      <c r="H471" s="5" t="s">
        <v>985</v>
      </c>
      <c r="I471" s="6" t="str">
        <f>HYPERLINK("https://www.gqjapan.jp/fashion/article/20210211-zx-krusty-burger-news","URLを開く")</f>
        <v>URLを開く</v>
      </c>
      <c r="J471" s="10" t="s">
        <v>29</v>
      </c>
      <c r="K471" s="10" t="s">
        <v>23</v>
      </c>
    </row>
    <row r="472" spans="1:11">
      <c r="A472" s="7" t="s">
        <v>684</v>
      </c>
      <c r="B472" s="7" t="s">
        <v>345</v>
      </c>
      <c r="C472" s="13" t="s">
        <v>103</v>
      </c>
      <c r="D472" s="13" t="s">
        <v>104</v>
      </c>
      <c r="E472" s="5" t="s">
        <v>986</v>
      </c>
      <c r="F472" s="5" t="s">
        <v>20</v>
      </c>
      <c r="G472" s="5" t="s">
        <v>33</v>
      </c>
      <c r="H472" s="5" t="s">
        <v>987</v>
      </c>
      <c r="I472" s="6" t="str">
        <f>HYPERLINK("https://www.excite.co.jp/news/article/Fashionsnap_article_2021-02-12_jimmychoo-marineserre/","URLを開く")</f>
        <v>URLを開く</v>
      </c>
      <c r="J472" s="10" t="s">
        <v>23</v>
      </c>
      <c r="K472" s="10" t="s">
        <v>23</v>
      </c>
    </row>
    <row r="473" spans="1:11">
      <c r="A473" s="7" t="s">
        <v>684</v>
      </c>
      <c r="B473" s="7" t="s">
        <v>345</v>
      </c>
      <c r="C473" s="13" t="s">
        <v>831</v>
      </c>
      <c r="D473" s="13" t="s">
        <v>832</v>
      </c>
      <c r="E473" s="5" t="s">
        <v>988</v>
      </c>
      <c r="F473" s="5" t="s">
        <v>40</v>
      </c>
      <c r="G473" s="5" t="s">
        <v>27</v>
      </c>
      <c r="H473" s="5" t="s">
        <v>989</v>
      </c>
      <c r="I473" s="6" t="str">
        <f>HYPERLINK("https://mastered.jp/news/palaceskateboards-2021ss-20210212/","URLを開く")</f>
        <v>URLを開く</v>
      </c>
      <c r="J473" s="10" t="s">
        <v>23</v>
      </c>
      <c r="K473" s="10" t="s">
        <v>23</v>
      </c>
    </row>
    <row r="474" spans="1:11">
      <c r="A474" s="7" t="s">
        <v>684</v>
      </c>
      <c r="B474" s="7" t="s">
        <v>345</v>
      </c>
      <c r="C474" s="13" t="s">
        <v>983</v>
      </c>
      <c r="D474" s="13" t="s">
        <v>508</v>
      </c>
      <c r="E474" s="5" t="s">
        <v>990</v>
      </c>
      <c r="F474" s="5" t="s">
        <v>88</v>
      </c>
      <c r="G474" s="5" t="s">
        <v>27</v>
      </c>
      <c r="H474" s="5" t="s">
        <v>991</v>
      </c>
      <c r="I474" s="6" t="str">
        <f>HYPERLINK("https://www.gqjapan.jp/fashion/article/20210212-nike-stussy-news","URLを開く")</f>
        <v>URLを開く</v>
      </c>
      <c r="J474" s="10" t="s">
        <v>29</v>
      </c>
      <c r="K474" s="10" t="s">
        <v>23</v>
      </c>
    </row>
    <row r="475" spans="1:11">
      <c r="A475" s="7" t="s">
        <v>684</v>
      </c>
      <c r="B475" s="7" t="s">
        <v>345</v>
      </c>
      <c r="C475" s="13" t="s">
        <v>42</v>
      </c>
      <c r="D475" s="13" t="s">
        <v>43</v>
      </c>
      <c r="E475" s="5" t="s">
        <v>990</v>
      </c>
      <c r="F475" s="5" t="s">
        <v>88</v>
      </c>
      <c r="G475" s="5" t="s">
        <v>33</v>
      </c>
      <c r="H475" s="5" t="s">
        <v>992</v>
      </c>
      <c r="I475" s="6" t="str">
        <f>HYPERLINK("https://news.line.me/articles/oa-rp67903/142054014eb0","URLを開く")</f>
        <v>URLを開く</v>
      </c>
      <c r="J475" s="10" t="s">
        <v>23</v>
      </c>
      <c r="K475" s="10" t="s">
        <v>23</v>
      </c>
    </row>
    <row r="476" spans="1:11">
      <c r="A476" s="7" t="s">
        <v>684</v>
      </c>
      <c r="B476" s="7" t="s">
        <v>345</v>
      </c>
      <c r="C476" s="13" t="s">
        <v>50</v>
      </c>
      <c r="D476" s="13" t="s">
        <v>51</v>
      </c>
      <c r="E476" s="5" t="s">
        <v>990</v>
      </c>
      <c r="F476" s="5" t="s">
        <v>88</v>
      </c>
      <c r="G476" s="5" t="s">
        <v>33</v>
      </c>
      <c r="H476" s="5" t="s">
        <v>993</v>
      </c>
      <c r="I476" s="6" t="str">
        <f>HYPERLINK("https://news.yahoo.co.jp/articles/0f98673c31fad81a52d0853165a2f533ae5a25ea","URLを開く")</f>
        <v>URLを開く</v>
      </c>
      <c r="J476" s="10" t="s">
        <v>23</v>
      </c>
      <c r="K476" s="10" t="s">
        <v>23</v>
      </c>
    </row>
    <row r="477" spans="1:11">
      <c r="A477" s="7" t="s">
        <v>684</v>
      </c>
      <c r="B477" s="7" t="s">
        <v>345</v>
      </c>
      <c r="C477" s="13" t="s">
        <v>193</v>
      </c>
      <c r="D477" s="13" t="s">
        <v>100</v>
      </c>
      <c r="E477" s="5" t="s">
        <v>994</v>
      </c>
      <c r="F477" s="5" t="s">
        <v>58</v>
      </c>
      <c r="G477" s="5" t="s">
        <v>21</v>
      </c>
      <c r="H477" s="5" t="s">
        <v>995</v>
      </c>
      <c r="I477" s="6" t="str">
        <f>HYPERLINK("https://business.nifty.com/cs/catalog/business_release/catalog_drm0000231130_1.htm","URLを開く")</f>
        <v>URLを開く</v>
      </c>
      <c r="J477" s="10" t="s">
        <v>23</v>
      </c>
      <c r="K477" s="10" t="s">
        <v>23</v>
      </c>
    </row>
    <row r="478" spans="1:11">
      <c r="A478" s="7" t="s">
        <v>684</v>
      </c>
      <c r="B478" s="7" t="s">
        <v>345</v>
      </c>
      <c r="C478" s="13" t="s">
        <v>201</v>
      </c>
      <c r="D478" s="13" t="s">
        <v>202</v>
      </c>
      <c r="E478" s="5" t="s">
        <v>994</v>
      </c>
      <c r="F478" s="5" t="s">
        <v>58</v>
      </c>
      <c r="G478" s="5" t="s">
        <v>21</v>
      </c>
      <c r="H478" s="5" t="s">
        <v>996</v>
      </c>
      <c r="I478" s="6" t="str">
        <f>HYPERLINK("https://news.biglobe.ne.jp/economy/0212/dre_210212_4465372941.html","URLを開く")</f>
        <v>URLを開く</v>
      </c>
      <c r="J478" s="10" t="s">
        <v>23</v>
      </c>
      <c r="K478" s="10" t="s">
        <v>23</v>
      </c>
    </row>
    <row r="479" spans="1:11">
      <c r="A479" s="7" t="s">
        <v>684</v>
      </c>
      <c r="B479" s="7" t="s">
        <v>345</v>
      </c>
      <c r="C479" s="13" t="s">
        <v>997</v>
      </c>
      <c r="D479" s="13" t="s">
        <v>998</v>
      </c>
      <c r="E479" s="5" t="s">
        <v>994</v>
      </c>
      <c r="F479" s="5" t="s">
        <v>58</v>
      </c>
      <c r="G479" s="5" t="s">
        <v>21</v>
      </c>
      <c r="H479" s="5" t="s">
        <v>999</v>
      </c>
      <c r="I479" s="6" t="str">
        <f>HYPERLINK("https://www.dreamnews.jp/press/0000231130/","URLを開く")</f>
        <v>URLを開く</v>
      </c>
      <c r="J479" s="10" t="s">
        <v>23</v>
      </c>
      <c r="K479" s="10" t="s">
        <v>23</v>
      </c>
    </row>
    <row r="480" spans="1:11">
      <c r="A480" s="7" t="s">
        <v>684</v>
      </c>
      <c r="B480" s="7" t="s">
        <v>345</v>
      </c>
      <c r="C480" s="13" t="s">
        <v>103</v>
      </c>
      <c r="D480" s="13" t="s">
        <v>104</v>
      </c>
      <c r="E480" s="5" t="s">
        <v>994</v>
      </c>
      <c r="F480" s="5" t="s">
        <v>58</v>
      </c>
      <c r="G480" s="5" t="s">
        <v>33</v>
      </c>
      <c r="H480" s="5" t="s">
        <v>1000</v>
      </c>
      <c r="I480" s="6" t="str">
        <f>HYPERLINK("https://www.excite.co.jp/news/article/Dreamnews_0000231130/","URLを開く")</f>
        <v>URLを開く</v>
      </c>
      <c r="J480" s="10" t="s">
        <v>23</v>
      </c>
      <c r="K480" s="10" t="s">
        <v>23</v>
      </c>
    </row>
    <row r="481" spans="1:11">
      <c r="A481" s="7" t="s">
        <v>684</v>
      </c>
      <c r="B481" s="7" t="s">
        <v>345</v>
      </c>
      <c r="C481" s="13" t="s">
        <v>1001</v>
      </c>
      <c r="D481" s="13" t="s">
        <v>1002</v>
      </c>
      <c r="E481" s="5" t="s">
        <v>994</v>
      </c>
      <c r="F481" s="5" t="s">
        <v>58</v>
      </c>
      <c r="G481" s="5" t="s">
        <v>21</v>
      </c>
      <c r="H481" s="5" t="s">
        <v>1003</v>
      </c>
      <c r="I481" s="6" t="str">
        <f>HYPERLINK("http://press.fideli.com/d/231130/5","URLを開く")</f>
        <v>URLを開く</v>
      </c>
      <c r="J481" s="10" t="s">
        <v>23</v>
      </c>
      <c r="K481" s="10" t="s">
        <v>23</v>
      </c>
    </row>
    <row r="482" spans="1:11">
      <c r="A482" s="7" t="s">
        <v>684</v>
      </c>
      <c r="B482" s="7" t="s">
        <v>345</v>
      </c>
      <c r="C482" s="13" t="s">
        <v>1001</v>
      </c>
      <c r="D482" s="13" t="s">
        <v>1002</v>
      </c>
      <c r="E482" s="5" t="s">
        <v>994</v>
      </c>
      <c r="F482" s="5" t="s">
        <v>58</v>
      </c>
      <c r="G482" s="5" t="s">
        <v>21</v>
      </c>
      <c r="H482" s="5" t="s">
        <v>1004</v>
      </c>
      <c r="I482" s="6" t="str">
        <f>HYPERLINK("http://press.fideli.com/d/231130/","URLを開く")</f>
        <v>URLを開く</v>
      </c>
      <c r="J482" s="10" t="s">
        <v>23</v>
      </c>
      <c r="K482" s="10" t="s">
        <v>23</v>
      </c>
    </row>
    <row r="483" spans="1:11">
      <c r="A483" s="7" t="s">
        <v>684</v>
      </c>
      <c r="B483" s="7" t="s">
        <v>345</v>
      </c>
      <c r="C483" s="13" t="s">
        <v>109</v>
      </c>
      <c r="D483" s="13" t="s">
        <v>110</v>
      </c>
      <c r="E483" s="5" t="s">
        <v>994</v>
      </c>
      <c r="F483" s="5" t="s">
        <v>58</v>
      </c>
      <c r="G483" s="5" t="s">
        <v>21</v>
      </c>
      <c r="H483" s="5" t="s">
        <v>1005</v>
      </c>
      <c r="I483" s="6" t="str">
        <f>HYPERLINK("https://news.infoseek.co.jp/article/dreamnews_0000231130/","URLを開く")</f>
        <v>URLを開く</v>
      </c>
      <c r="J483" s="10" t="s">
        <v>23</v>
      </c>
      <c r="K483" s="10" t="s">
        <v>23</v>
      </c>
    </row>
    <row r="484" spans="1:11">
      <c r="A484" s="7" t="s">
        <v>684</v>
      </c>
      <c r="B484" s="7" t="s">
        <v>345</v>
      </c>
      <c r="C484" s="13" t="s">
        <v>95</v>
      </c>
      <c r="D484" s="13" t="s">
        <v>96</v>
      </c>
      <c r="E484" s="5" t="s">
        <v>994</v>
      </c>
      <c r="F484" s="5" t="s">
        <v>58</v>
      </c>
      <c r="G484" s="5" t="s">
        <v>33</v>
      </c>
      <c r="H484" s="5" t="s">
        <v>1006</v>
      </c>
      <c r="I484" s="6" t="str">
        <f>HYPERLINK("https://www.mapion.co.jp/news/release/dn0000231130-all/","URLを開く")</f>
        <v>URLを開く</v>
      </c>
      <c r="J484" s="10" t="s">
        <v>23</v>
      </c>
      <c r="K484" s="10" t="s">
        <v>23</v>
      </c>
    </row>
    <row r="485" spans="1:11">
      <c r="A485" s="7" t="s">
        <v>684</v>
      </c>
      <c r="B485" s="7" t="s">
        <v>345</v>
      </c>
      <c r="C485" s="13" t="s">
        <v>1007</v>
      </c>
      <c r="D485" s="13" t="s">
        <v>1008</v>
      </c>
      <c r="E485" s="5" t="s">
        <v>994</v>
      </c>
      <c r="F485" s="5" t="s">
        <v>58</v>
      </c>
      <c r="G485" s="5" t="s">
        <v>21</v>
      </c>
      <c r="H485" s="5" t="s">
        <v>1009</v>
      </c>
      <c r="I485" s="6" t="str">
        <f>HYPERLINK("https://www.the-miyanichi.co.jp/special/dreamNews/detailep.php?id=0000231130","URLを開く")</f>
        <v>URLを開く</v>
      </c>
      <c r="J485" s="10" t="s">
        <v>23</v>
      </c>
      <c r="K485" s="10" t="s">
        <v>23</v>
      </c>
    </row>
    <row r="486" spans="1:11">
      <c r="A486" s="7" t="s">
        <v>684</v>
      </c>
      <c r="B486" s="7" t="s">
        <v>345</v>
      </c>
      <c r="C486" s="13" t="s">
        <v>1010</v>
      </c>
      <c r="D486" s="13" t="s">
        <v>227</v>
      </c>
      <c r="E486" s="5" t="s">
        <v>994</v>
      </c>
      <c r="F486" s="5" t="s">
        <v>58</v>
      </c>
      <c r="G486" s="5" t="s">
        <v>27</v>
      </c>
      <c r="H486" s="5" t="s">
        <v>1011</v>
      </c>
      <c r="I486" s="6" t="str">
        <f>HYPERLINK("https://www.sanspo.com/geino/news/20210212/prl21021209330016-n1.html","URLを開く")</f>
        <v>URLを開く</v>
      </c>
      <c r="J486" s="10" t="s">
        <v>23</v>
      </c>
      <c r="K486" s="10" t="s">
        <v>23</v>
      </c>
    </row>
    <row r="487" spans="1:11">
      <c r="A487" s="7" t="s">
        <v>684</v>
      </c>
      <c r="B487" s="7" t="s">
        <v>345</v>
      </c>
      <c r="C487" s="13" t="s">
        <v>1012</v>
      </c>
      <c r="D487" s="13" t="s">
        <v>1013</v>
      </c>
      <c r="E487" s="5" t="s">
        <v>994</v>
      </c>
      <c r="F487" s="5" t="s">
        <v>58</v>
      </c>
      <c r="G487" s="5" t="s">
        <v>21</v>
      </c>
      <c r="H487" s="5" t="s">
        <v>1014</v>
      </c>
      <c r="I487" s="6" t="str">
        <f>HYPERLINK("http://www.seotools.jp/news/id_0000231130.html","URLを開く")</f>
        <v>URLを開く</v>
      </c>
      <c r="J487" s="10" t="s">
        <v>23</v>
      </c>
      <c r="K487" s="10" t="s">
        <v>23</v>
      </c>
    </row>
    <row r="488" spans="1:11">
      <c r="A488" s="7" t="s">
        <v>684</v>
      </c>
      <c r="B488" s="7" t="s">
        <v>345</v>
      </c>
      <c r="C488" s="13" t="s">
        <v>1015</v>
      </c>
      <c r="D488" s="13" t="s">
        <v>1016</v>
      </c>
      <c r="E488" s="5" t="s">
        <v>994</v>
      </c>
      <c r="F488" s="5" t="s">
        <v>58</v>
      </c>
      <c r="G488" s="5" t="s">
        <v>21</v>
      </c>
      <c r="H488" s="5" t="s">
        <v>1017</v>
      </c>
      <c r="I488" s="6" t="str">
        <f>HYPERLINK("https://home.kingsoft.jp/news/pr/dreamnews/0000231130.html","URLを開く")</f>
        <v>URLを開く</v>
      </c>
      <c r="J488" s="10" t="s">
        <v>23</v>
      </c>
      <c r="K488" s="10" t="s">
        <v>23</v>
      </c>
    </row>
    <row r="489" spans="1:11">
      <c r="A489" s="7" t="s">
        <v>684</v>
      </c>
      <c r="B489" s="7" t="s">
        <v>345</v>
      </c>
      <c r="C489" s="13" t="s">
        <v>1018</v>
      </c>
      <c r="D489" s="13" t="s">
        <v>227</v>
      </c>
      <c r="E489" s="5" t="s">
        <v>994</v>
      </c>
      <c r="F489" s="5" t="s">
        <v>58</v>
      </c>
      <c r="G489" s="5" t="s">
        <v>21</v>
      </c>
      <c r="H489" s="5" t="s">
        <v>1019</v>
      </c>
      <c r="I489" s="6" t="str">
        <f>HYPERLINK("https://www.zakzak.co.jp/eco/news/210212/prl2102120017-n1.html","URLを開く")</f>
        <v>URLを開く</v>
      </c>
      <c r="J489" s="10" t="s">
        <v>23</v>
      </c>
      <c r="K489" s="10" t="s">
        <v>23</v>
      </c>
    </row>
    <row r="490" spans="1:11">
      <c r="A490" s="7" t="s">
        <v>684</v>
      </c>
      <c r="B490" s="7" t="s">
        <v>345</v>
      </c>
      <c r="C490" s="13" t="s">
        <v>235</v>
      </c>
      <c r="D490" s="13" t="s">
        <v>236</v>
      </c>
      <c r="E490" s="5" t="s">
        <v>994</v>
      </c>
      <c r="F490" s="5" t="s">
        <v>58</v>
      </c>
      <c r="G490" s="5" t="s">
        <v>21</v>
      </c>
      <c r="H490" s="5" t="s">
        <v>1020</v>
      </c>
      <c r="I490" s="6" t="str">
        <f>HYPERLINK("https://news.toremaga.com/nation/notice/1779023.html","URLを開く")</f>
        <v>URLを開く</v>
      </c>
      <c r="J490" s="10" t="s">
        <v>23</v>
      </c>
      <c r="K490" s="10" t="s">
        <v>23</v>
      </c>
    </row>
    <row r="491" spans="1:11">
      <c r="A491" s="7" t="s">
        <v>684</v>
      </c>
      <c r="B491" s="7" t="s">
        <v>345</v>
      </c>
      <c r="C491" s="13" t="s">
        <v>235</v>
      </c>
      <c r="D491" s="13" t="s">
        <v>236</v>
      </c>
      <c r="E491" s="5" t="s">
        <v>994</v>
      </c>
      <c r="F491" s="5" t="s">
        <v>58</v>
      </c>
      <c r="G491" s="5" t="s">
        <v>21</v>
      </c>
      <c r="H491" s="5" t="s">
        <v>1021</v>
      </c>
      <c r="I491" s="6" t="str">
        <f>HYPERLINK("https://news.toremaga.com/release/notice/1779023.html","URLを開く")</f>
        <v>URLを開く</v>
      </c>
      <c r="J491" s="10" t="s">
        <v>23</v>
      </c>
      <c r="K491" s="10" t="s">
        <v>23</v>
      </c>
    </row>
    <row r="492" spans="1:11">
      <c r="A492" s="7" t="s">
        <v>684</v>
      </c>
      <c r="B492" s="7" t="s">
        <v>345</v>
      </c>
      <c r="C492" s="13" t="s">
        <v>238</v>
      </c>
      <c r="D492" s="13" t="s">
        <v>239</v>
      </c>
      <c r="E492" s="5" t="s">
        <v>994</v>
      </c>
      <c r="F492" s="5" t="s">
        <v>58</v>
      </c>
      <c r="G492" s="5" t="s">
        <v>33</v>
      </c>
      <c r="H492" s="5" t="s">
        <v>1022</v>
      </c>
      <c r="I492" s="6" t="str">
        <f>HYPERLINK("https://news.nicovideo.jp/watch/nw8927024","URLを開く")</f>
        <v>URLを開く</v>
      </c>
      <c r="J492" s="10" t="s">
        <v>23</v>
      </c>
      <c r="K492" s="10" t="s">
        <v>23</v>
      </c>
    </row>
    <row r="493" spans="1:11">
      <c r="A493" s="7" t="s">
        <v>684</v>
      </c>
      <c r="B493" s="7" t="s">
        <v>345</v>
      </c>
      <c r="C493" s="13" t="s">
        <v>1023</v>
      </c>
      <c r="D493" s="13" t="s">
        <v>1024</v>
      </c>
      <c r="E493" s="5" t="s">
        <v>994</v>
      </c>
      <c r="F493" s="5" t="s">
        <v>58</v>
      </c>
      <c r="G493" s="5" t="s">
        <v>21</v>
      </c>
      <c r="H493" s="5" t="s">
        <v>1025</v>
      </c>
      <c r="I493" s="6" t="str">
        <f>HYPERLINK("https://www.topics.or.jp/ud/pressrelease/6025cc687765613bcf0c0000","URLを開く")</f>
        <v>URLを開く</v>
      </c>
      <c r="J493" s="10" t="s">
        <v>23</v>
      </c>
      <c r="K493" s="10" t="s">
        <v>23</v>
      </c>
    </row>
    <row r="494" spans="1:11">
      <c r="A494" s="7" t="s">
        <v>684</v>
      </c>
      <c r="B494" s="7" t="s">
        <v>345</v>
      </c>
      <c r="C494" s="13" t="s">
        <v>244</v>
      </c>
      <c r="D494" s="13" t="s">
        <v>160</v>
      </c>
      <c r="E494" s="5" t="s">
        <v>994</v>
      </c>
      <c r="F494" s="5" t="s">
        <v>58</v>
      </c>
      <c r="G494" s="5" t="s">
        <v>21</v>
      </c>
      <c r="H494" s="5" t="s">
        <v>1026</v>
      </c>
      <c r="I494" s="6" t="str">
        <f>HYPERLINK("https://www.asahi.com/and_M/pressrelease/pre_23446579/","URLを開く")</f>
        <v>URLを開く</v>
      </c>
      <c r="J494" s="10" t="s">
        <v>23</v>
      </c>
      <c r="K494" s="10" t="s">
        <v>23</v>
      </c>
    </row>
    <row r="495" spans="1:11">
      <c r="A495" s="7" t="s">
        <v>684</v>
      </c>
      <c r="B495" s="7" t="s">
        <v>345</v>
      </c>
      <c r="C495" s="13" t="s">
        <v>462</v>
      </c>
      <c r="D495" s="13" t="s">
        <v>462</v>
      </c>
      <c r="E495" s="5" t="s">
        <v>1027</v>
      </c>
      <c r="F495" s="5" t="s">
        <v>20</v>
      </c>
      <c r="G495" s="5" t="s">
        <v>33</v>
      </c>
      <c r="H495" s="5" t="s">
        <v>1028</v>
      </c>
      <c r="I495" s="6" t="str">
        <f>HYPERLINK("https://finance.yahoo.co.jp/news/detail/20210212-05464373-klugfx-fx","URLを開く")</f>
        <v>URLを開く</v>
      </c>
      <c r="J495" s="10" t="s">
        <v>23</v>
      </c>
      <c r="K495" s="10" t="s">
        <v>23</v>
      </c>
    </row>
    <row r="496" spans="1:11">
      <c r="A496" s="7" t="s">
        <v>684</v>
      </c>
      <c r="B496" s="7" t="s">
        <v>345</v>
      </c>
      <c r="C496" s="13" t="s">
        <v>516</v>
      </c>
      <c r="D496" s="13" t="s">
        <v>517</v>
      </c>
      <c r="E496" s="5" t="s">
        <v>1027</v>
      </c>
      <c r="F496" s="5" t="s">
        <v>20</v>
      </c>
      <c r="G496" s="5" t="s">
        <v>27</v>
      </c>
      <c r="H496" s="5" t="s">
        <v>1029</v>
      </c>
      <c r="I496" s="6" t="str">
        <f>HYPERLINK("https://fx.minkabu.jp/news/175135","URLを開く")</f>
        <v>URLを開く</v>
      </c>
      <c r="J496" s="10" t="s">
        <v>23</v>
      </c>
      <c r="K496" s="10" t="s">
        <v>23</v>
      </c>
    </row>
    <row r="497" spans="1:11">
      <c r="A497" s="7" t="s">
        <v>684</v>
      </c>
      <c r="B497" s="7" t="s">
        <v>345</v>
      </c>
      <c r="C497" s="13" t="s">
        <v>519</v>
      </c>
      <c r="D497" s="13" t="s">
        <v>517</v>
      </c>
      <c r="E497" s="5" t="s">
        <v>1027</v>
      </c>
      <c r="F497" s="5" t="s">
        <v>20</v>
      </c>
      <c r="G497" s="5" t="s">
        <v>33</v>
      </c>
      <c r="H497" s="5" t="s">
        <v>1030</v>
      </c>
      <c r="I497" s="6" t="str">
        <f>HYPERLINK("https://minkabu.jp/news/2881900","URLを開く")</f>
        <v>URLを開く</v>
      </c>
      <c r="J497" s="10" t="s">
        <v>23</v>
      </c>
      <c r="K497" s="10" t="s">
        <v>23</v>
      </c>
    </row>
    <row r="498" spans="1:11">
      <c r="A498" s="7" t="s">
        <v>684</v>
      </c>
      <c r="B498" s="7" t="s">
        <v>345</v>
      </c>
      <c r="C498" s="13" t="s">
        <v>462</v>
      </c>
      <c r="D498" s="13" t="s">
        <v>462</v>
      </c>
      <c r="E498" s="5" t="s">
        <v>1031</v>
      </c>
      <c r="F498" s="5" t="s">
        <v>20</v>
      </c>
      <c r="G498" s="5" t="s">
        <v>33</v>
      </c>
      <c r="H498" s="5" t="s">
        <v>1032</v>
      </c>
      <c r="I498" s="6" t="str">
        <f>HYPERLINK("https://finance.yahoo.co.jp/news/detail/20210212-05464406-klugfx-fx","URLを開く")</f>
        <v>URLを開く</v>
      </c>
      <c r="J498" s="10" t="s">
        <v>23</v>
      </c>
      <c r="K498" s="10" t="s">
        <v>23</v>
      </c>
    </row>
    <row r="499" spans="1:11">
      <c r="A499" s="7" t="s">
        <v>684</v>
      </c>
      <c r="B499" s="7" t="s">
        <v>345</v>
      </c>
      <c r="C499" s="13" t="s">
        <v>516</v>
      </c>
      <c r="D499" s="13" t="s">
        <v>517</v>
      </c>
      <c r="E499" s="5" t="s">
        <v>1031</v>
      </c>
      <c r="F499" s="5" t="s">
        <v>20</v>
      </c>
      <c r="G499" s="5" t="s">
        <v>27</v>
      </c>
      <c r="H499" s="5" t="s">
        <v>1033</v>
      </c>
      <c r="I499" s="6" t="str">
        <f>HYPERLINK("https://fx.minkabu.jp/news/175152","URLを開く")</f>
        <v>URLを開く</v>
      </c>
      <c r="J499" s="10" t="s">
        <v>23</v>
      </c>
      <c r="K499" s="10" t="s">
        <v>23</v>
      </c>
    </row>
    <row r="500" spans="1:11">
      <c r="A500" s="7" t="s">
        <v>684</v>
      </c>
      <c r="B500" s="7" t="s">
        <v>345</v>
      </c>
      <c r="C500" s="13" t="s">
        <v>519</v>
      </c>
      <c r="D500" s="13" t="s">
        <v>517</v>
      </c>
      <c r="E500" s="5" t="s">
        <v>1031</v>
      </c>
      <c r="F500" s="5" t="s">
        <v>20</v>
      </c>
      <c r="G500" s="5" t="s">
        <v>33</v>
      </c>
      <c r="H500" s="5" t="s">
        <v>1034</v>
      </c>
      <c r="I500" s="6" t="str">
        <f>HYPERLINK("https://minkabu.jp/news/2881928","URLを開く")</f>
        <v>URLを開く</v>
      </c>
      <c r="J500" s="10" t="s">
        <v>23</v>
      </c>
      <c r="K500" s="10" t="s">
        <v>23</v>
      </c>
    </row>
    <row r="501" spans="1:11">
      <c r="A501" s="7" t="s">
        <v>684</v>
      </c>
      <c r="B501" s="7" t="s">
        <v>345</v>
      </c>
      <c r="C501" s="13" t="s">
        <v>462</v>
      </c>
      <c r="D501" s="13" t="s">
        <v>462</v>
      </c>
      <c r="E501" s="5" t="s">
        <v>1035</v>
      </c>
      <c r="F501" s="5" t="s">
        <v>20</v>
      </c>
      <c r="G501" s="5" t="s">
        <v>33</v>
      </c>
      <c r="H501" s="5" t="s">
        <v>1036</v>
      </c>
      <c r="I501" s="6" t="str">
        <f>HYPERLINK("https://finance.yahoo.co.jp/news/detail/20210212-05464422-klugfx-fx","URLを開く")</f>
        <v>URLを開く</v>
      </c>
      <c r="J501" s="10" t="s">
        <v>23</v>
      </c>
      <c r="K501" s="10" t="s">
        <v>23</v>
      </c>
    </row>
    <row r="502" spans="1:11">
      <c r="A502" s="7" t="s">
        <v>684</v>
      </c>
      <c r="B502" s="7" t="s">
        <v>345</v>
      </c>
      <c r="C502" s="13" t="s">
        <v>519</v>
      </c>
      <c r="D502" s="13" t="s">
        <v>517</v>
      </c>
      <c r="E502" s="5" t="s">
        <v>1035</v>
      </c>
      <c r="F502" s="5" t="s">
        <v>20</v>
      </c>
      <c r="G502" s="5" t="s">
        <v>33</v>
      </c>
      <c r="H502" s="5" t="s">
        <v>1037</v>
      </c>
      <c r="I502" s="6" t="str">
        <f>HYPERLINK("https://minkabu.jp/news/2881944","URLを開く")</f>
        <v>URLを開く</v>
      </c>
      <c r="J502" s="10" t="s">
        <v>23</v>
      </c>
      <c r="K502" s="10" t="s">
        <v>23</v>
      </c>
    </row>
    <row r="503" spans="1:11">
      <c r="A503" s="7" t="s">
        <v>684</v>
      </c>
      <c r="B503" s="7" t="s">
        <v>345</v>
      </c>
      <c r="C503" s="13" t="s">
        <v>462</v>
      </c>
      <c r="D503" s="13" t="s">
        <v>462</v>
      </c>
      <c r="E503" s="5" t="s">
        <v>1038</v>
      </c>
      <c r="F503" s="5" t="s">
        <v>20</v>
      </c>
      <c r="G503" s="5" t="s">
        <v>33</v>
      </c>
      <c r="H503" s="5" t="s">
        <v>1039</v>
      </c>
      <c r="I503" s="6" t="str">
        <f>HYPERLINK("https://finance.yahoo.co.jp/news/detail/20210212-05471143-klugfx-fx","URLを開く")</f>
        <v>URLを開く</v>
      </c>
      <c r="J503" s="10" t="s">
        <v>23</v>
      </c>
      <c r="K503" s="10" t="s">
        <v>23</v>
      </c>
    </row>
    <row r="504" spans="1:11">
      <c r="A504" s="7" t="s">
        <v>684</v>
      </c>
      <c r="B504" s="7" t="s">
        <v>345</v>
      </c>
      <c r="C504" s="13" t="s">
        <v>519</v>
      </c>
      <c r="D504" s="13" t="s">
        <v>517</v>
      </c>
      <c r="E504" s="5" t="s">
        <v>1038</v>
      </c>
      <c r="F504" s="5" t="s">
        <v>20</v>
      </c>
      <c r="G504" s="5" t="s">
        <v>33</v>
      </c>
      <c r="H504" s="5" t="s">
        <v>1040</v>
      </c>
      <c r="I504" s="6" t="str">
        <f>HYPERLINK("https://minkabu.jp/news/2884874","URLを開く")</f>
        <v>URLを開く</v>
      </c>
      <c r="J504" s="10" t="s">
        <v>23</v>
      </c>
      <c r="K504" s="10" t="s">
        <v>23</v>
      </c>
    </row>
    <row r="505" spans="1:11">
      <c r="A505" s="7" t="s">
        <v>684</v>
      </c>
      <c r="B505" s="7" t="s">
        <v>345</v>
      </c>
      <c r="C505" s="13" t="s">
        <v>519</v>
      </c>
      <c r="D505" s="13" t="s">
        <v>517</v>
      </c>
      <c r="E505" s="5" t="s">
        <v>1041</v>
      </c>
      <c r="F505" s="5" t="s">
        <v>20</v>
      </c>
      <c r="G505" s="5" t="s">
        <v>33</v>
      </c>
      <c r="H505" s="5" t="s">
        <v>1042</v>
      </c>
      <c r="I505" s="6" t="str">
        <f>HYPERLINK("https://minkabu.jp/news/2881858","URLを開く")</f>
        <v>URLを開く</v>
      </c>
      <c r="J505" s="10" t="s">
        <v>23</v>
      </c>
      <c r="K505" s="10" t="s">
        <v>23</v>
      </c>
    </row>
    <row r="506" spans="1:11">
      <c r="A506" s="7" t="s">
        <v>684</v>
      </c>
      <c r="B506" s="7" t="s">
        <v>345</v>
      </c>
      <c r="C506" s="13" t="s">
        <v>507</v>
      </c>
      <c r="D506" s="13" t="s">
        <v>508</v>
      </c>
      <c r="E506" s="5" t="s">
        <v>1043</v>
      </c>
      <c r="F506" s="5" t="s">
        <v>40</v>
      </c>
      <c r="G506" s="5" t="s">
        <v>27</v>
      </c>
      <c r="H506" s="5" t="s">
        <v>1044</v>
      </c>
      <c r="I506" s="6" t="str">
        <f>HYPERLINK("https://www.vogue.co.jp/celebrity/article/david-beckham-buys-stake-cannabinoid-firm-cellular-goods","URLを開く")</f>
        <v>URLを開く</v>
      </c>
      <c r="J506" s="10" t="s">
        <v>23</v>
      </c>
      <c r="K506" s="10" t="s">
        <v>23</v>
      </c>
    </row>
    <row r="507" spans="1:11">
      <c r="A507" s="7" t="s">
        <v>684</v>
      </c>
      <c r="B507" s="7" t="s">
        <v>345</v>
      </c>
      <c r="C507" s="13" t="s">
        <v>201</v>
      </c>
      <c r="D507" s="13" t="s">
        <v>202</v>
      </c>
      <c r="E507" s="5" t="s">
        <v>1045</v>
      </c>
      <c r="F507" s="5" t="s">
        <v>40</v>
      </c>
      <c r="G507" s="5" t="s">
        <v>33</v>
      </c>
      <c r="H507" s="5" t="s">
        <v>1046</v>
      </c>
      <c r="I507" s="6" t="str">
        <f>HYPERLINK("https://news.biglobe.ne.jp/entertainment/0212/cin_210212_7092816533.html","URLを開く")</f>
        <v>URLを開く</v>
      </c>
      <c r="J507" s="10" t="s">
        <v>23</v>
      </c>
      <c r="K507" s="10" t="s">
        <v>23</v>
      </c>
    </row>
    <row r="508" spans="1:11">
      <c r="A508" s="7" t="s">
        <v>684</v>
      </c>
      <c r="B508" s="7" t="s">
        <v>345</v>
      </c>
      <c r="C508" s="13" t="s">
        <v>1047</v>
      </c>
      <c r="D508" s="13" t="s">
        <v>218</v>
      </c>
      <c r="E508" s="5" t="s">
        <v>1045</v>
      </c>
      <c r="F508" s="5" t="s">
        <v>40</v>
      </c>
      <c r="G508" s="5" t="s">
        <v>27</v>
      </c>
      <c r="H508" s="5" t="s">
        <v>1048</v>
      </c>
      <c r="I508" s="6" t="str">
        <f>HYPERLINK("https://www.cinemacafe.net/article/2021/02/12/71340.html","URLを開く")</f>
        <v>URLを開く</v>
      </c>
      <c r="J508" s="10" t="s">
        <v>23</v>
      </c>
      <c r="K508" s="10" t="s">
        <v>23</v>
      </c>
    </row>
    <row r="509" spans="1:11">
      <c r="A509" s="7" t="s">
        <v>684</v>
      </c>
      <c r="B509" s="7" t="s">
        <v>345</v>
      </c>
      <c r="C509" s="13" t="s">
        <v>42</v>
      </c>
      <c r="D509" s="13" t="s">
        <v>43</v>
      </c>
      <c r="E509" s="5" t="s">
        <v>1045</v>
      </c>
      <c r="F509" s="5" t="s">
        <v>40</v>
      </c>
      <c r="G509" s="5" t="s">
        <v>33</v>
      </c>
      <c r="H509" s="5" t="s">
        <v>1049</v>
      </c>
      <c r="I509" s="6" t="str">
        <f>HYPERLINK("https://news.line.me/articles/oa-rp31944/57b9a7bc423d","URLを開く")</f>
        <v>URLを開く</v>
      </c>
      <c r="J509" s="10" t="s">
        <v>23</v>
      </c>
      <c r="K509" s="10" t="s">
        <v>23</v>
      </c>
    </row>
    <row r="510" spans="1:11">
      <c r="A510" s="7" t="s">
        <v>684</v>
      </c>
      <c r="B510" s="7" t="s">
        <v>345</v>
      </c>
      <c r="C510" s="13" t="s">
        <v>567</v>
      </c>
      <c r="D510" s="13" t="s">
        <v>568</v>
      </c>
      <c r="E510" s="5" t="s">
        <v>1045</v>
      </c>
      <c r="F510" s="5" t="s">
        <v>40</v>
      </c>
      <c r="G510" s="5" t="s">
        <v>33</v>
      </c>
      <c r="H510" s="5" t="s">
        <v>1050</v>
      </c>
      <c r="I510" s="6" t="str">
        <f>HYPERLINK("https://news.mixi.jp/view_news.pl?id=6410281&amp;media_id=25","URLを開く")</f>
        <v>URLを開く</v>
      </c>
      <c r="J510" s="10" t="s">
        <v>23</v>
      </c>
      <c r="K510" s="10" t="s">
        <v>23</v>
      </c>
    </row>
    <row r="511" spans="1:11">
      <c r="A511" s="7" t="s">
        <v>684</v>
      </c>
      <c r="B511" s="7" t="s">
        <v>345</v>
      </c>
      <c r="C511" s="13" t="s">
        <v>113</v>
      </c>
      <c r="D511" s="13" t="s">
        <v>104</v>
      </c>
      <c r="E511" s="5" t="s">
        <v>1045</v>
      </c>
      <c r="F511" s="5" t="s">
        <v>40</v>
      </c>
      <c r="G511" s="5" t="s">
        <v>33</v>
      </c>
      <c r="H511" s="5" t="s">
        <v>1051</v>
      </c>
      <c r="I511" s="6" t="str">
        <f>HYPERLINK("https://woman.excite.co.jp/article/lifestyle/rid_Cinemacafe_71340/","URLを開く")</f>
        <v>URLを開く</v>
      </c>
      <c r="J511" s="10" t="s">
        <v>23</v>
      </c>
      <c r="K511" s="10" t="s">
        <v>23</v>
      </c>
    </row>
    <row r="512" spans="1:11">
      <c r="A512" s="7" t="s">
        <v>684</v>
      </c>
      <c r="B512" s="7" t="s">
        <v>345</v>
      </c>
      <c r="C512" s="13" t="s">
        <v>50</v>
      </c>
      <c r="D512" s="13" t="s">
        <v>51</v>
      </c>
      <c r="E512" s="5" t="s">
        <v>1045</v>
      </c>
      <c r="F512" s="5" t="s">
        <v>40</v>
      </c>
      <c r="G512" s="5" t="s">
        <v>33</v>
      </c>
      <c r="H512" s="5" t="s">
        <v>1052</v>
      </c>
      <c r="I512" s="6" t="str">
        <f>HYPERLINK("https://news.yahoo.co.jp/articles/685ff1ac6146e414b0572f7291a982fe57d92428","URLを開く")</f>
        <v>URLを開く</v>
      </c>
      <c r="J512" s="10" t="s">
        <v>23</v>
      </c>
      <c r="K512" s="10" t="s">
        <v>23</v>
      </c>
    </row>
    <row r="513" spans="1:11">
      <c r="A513" s="7" t="s">
        <v>684</v>
      </c>
      <c r="B513" s="7" t="s">
        <v>345</v>
      </c>
      <c r="C513" s="13" t="s">
        <v>162</v>
      </c>
      <c r="D513" s="13" t="s">
        <v>163</v>
      </c>
      <c r="E513" s="5" t="s">
        <v>1045</v>
      </c>
      <c r="F513" s="5" t="s">
        <v>40</v>
      </c>
      <c r="G513" s="5" t="s">
        <v>33</v>
      </c>
      <c r="H513" s="5" t="s">
        <v>1053</v>
      </c>
      <c r="I513" s="6" t="str">
        <f>HYPERLINK("https://gunosy.com/articles/evs5q","URLを開く")</f>
        <v>URLを開く</v>
      </c>
      <c r="J513" s="10" t="s">
        <v>23</v>
      </c>
      <c r="K513" s="10" t="s">
        <v>23</v>
      </c>
    </row>
    <row r="514" spans="1:11">
      <c r="A514" s="7" t="s">
        <v>684</v>
      </c>
      <c r="B514" s="7" t="s">
        <v>345</v>
      </c>
      <c r="C514" s="13" t="s">
        <v>1054</v>
      </c>
      <c r="D514" s="13" t="s">
        <v>23</v>
      </c>
      <c r="E514" s="5" t="s">
        <v>1055</v>
      </c>
      <c r="F514" s="5" t="s">
        <v>65</v>
      </c>
      <c r="G514" s="5" t="s">
        <v>27</v>
      </c>
      <c r="H514" s="5" t="s">
        <v>1056</v>
      </c>
      <c r="I514" s="6" t="str">
        <f>HYPERLINK("https://www.omochaya3.com/%E3%83%87%E3%83%B3%E3%82%BF%E3%83%AB%E3%83%8A%E3%82%A4%E3%83%88%E3%82%AC%E3%83%BC%E3%83%89%E3%83%9E%E3%83%BC%E3%82%B1%E3%83%83%E3%83%882020%EF%BC%9A%E3%83%88%E3%83%83%E3%83%97%E3%83%97%E3%83%AC/","URLを開く")</f>
        <v>URLを開く</v>
      </c>
      <c r="J514" s="10" t="s">
        <v>23</v>
      </c>
      <c r="K514" s="10" t="s">
        <v>23</v>
      </c>
    </row>
    <row r="515" spans="1:11">
      <c r="A515" s="7" t="s">
        <v>684</v>
      </c>
      <c r="B515" s="7" t="s">
        <v>345</v>
      </c>
      <c r="C515" s="13" t="s">
        <v>458</v>
      </c>
      <c r="D515" s="13" t="s">
        <v>459</v>
      </c>
      <c r="E515" s="5" t="s">
        <v>1057</v>
      </c>
      <c r="F515" s="5" t="s">
        <v>40</v>
      </c>
      <c r="G515" s="5" t="s">
        <v>27</v>
      </c>
      <c r="H515" s="5" t="s">
        <v>1058</v>
      </c>
      <c r="I515" s="6" t="str">
        <f>HYPERLINK("https://www.nikkei.com/article/DGXZASGR11H4J_R10C21A2000000/","URLを開く")</f>
        <v>URLを開く</v>
      </c>
      <c r="J515" s="10" t="s">
        <v>23</v>
      </c>
      <c r="K515" s="10" t="s">
        <v>23</v>
      </c>
    </row>
    <row r="516" spans="1:11">
      <c r="A516" s="7" t="s">
        <v>684</v>
      </c>
      <c r="B516" s="7" t="s">
        <v>345</v>
      </c>
      <c r="C516" s="13" t="s">
        <v>42</v>
      </c>
      <c r="D516" s="13" t="s">
        <v>43</v>
      </c>
      <c r="E516" s="5" t="s">
        <v>1059</v>
      </c>
      <c r="F516" s="5" t="s">
        <v>93</v>
      </c>
      <c r="G516" s="5" t="s">
        <v>33</v>
      </c>
      <c r="H516" s="5" t="s">
        <v>1060</v>
      </c>
      <c r="I516" s="6" t="str">
        <f>HYPERLINK("https://news.line.me/issue/oa-nonnomodel/jrcwn0ckuz9k","URLを開く")</f>
        <v>URLを開く</v>
      </c>
      <c r="J516" s="10" t="s">
        <v>23</v>
      </c>
      <c r="K516" s="10" t="s">
        <v>23</v>
      </c>
    </row>
    <row r="517" spans="1:11">
      <c r="A517" s="7" t="s">
        <v>684</v>
      </c>
      <c r="B517" s="7" t="s">
        <v>345</v>
      </c>
      <c r="C517" s="13" t="s">
        <v>103</v>
      </c>
      <c r="D517" s="13" t="s">
        <v>104</v>
      </c>
      <c r="E517" s="5" t="s">
        <v>1061</v>
      </c>
      <c r="F517" s="5" t="s">
        <v>20</v>
      </c>
      <c r="G517" s="5" t="s">
        <v>33</v>
      </c>
      <c r="H517" s="5" t="s">
        <v>1062</v>
      </c>
      <c r="I517" s="6" t="str">
        <f>HYPERLINK("https://www.excite.co.jp/news/article/Gekisaka_324059-324059-fl/","URLを開く")</f>
        <v>URLを開く</v>
      </c>
      <c r="J517" s="10" t="s">
        <v>23</v>
      </c>
      <c r="K517" s="10" t="s">
        <v>23</v>
      </c>
    </row>
    <row r="518" spans="1:11">
      <c r="A518" s="7" t="s">
        <v>684</v>
      </c>
      <c r="B518" s="7" t="s">
        <v>345</v>
      </c>
      <c r="C518" s="13" t="s">
        <v>162</v>
      </c>
      <c r="D518" s="13" t="s">
        <v>163</v>
      </c>
      <c r="E518" s="5" t="s">
        <v>1061</v>
      </c>
      <c r="F518" s="5" t="s">
        <v>20</v>
      </c>
      <c r="G518" s="5" t="s">
        <v>33</v>
      </c>
      <c r="H518" s="5" t="s">
        <v>1063</v>
      </c>
      <c r="I518" s="6" t="str">
        <f>HYPERLINK("https://gunosy.com/articles/ewLAw","URLを開く")</f>
        <v>URLを開く</v>
      </c>
      <c r="J518" s="10" t="s">
        <v>23</v>
      </c>
      <c r="K518" s="10" t="s">
        <v>23</v>
      </c>
    </row>
    <row r="519" spans="1:11">
      <c r="A519" s="7" t="s">
        <v>684</v>
      </c>
      <c r="B519" s="7" t="s">
        <v>345</v>
      </c>
      <c r="C519" s="13" t="s">
        <v>1064</v>
      </c>
      <c r="D519" s="13" t="s">
        <v>179</v>
      </c>
      <c r="E519" s="5" t="s">
        <v>1061</v>
      </c>
      <c r="F519" s="5" t="s">
        <v>20</v>
      </c>
      <c r="G519" s="5" t="s">
        <v>33</v>
      </c>
      <c r="H519" s="5" t="s">
        <v>1065</v>
      </c>
      <c r="I519" s="6" t="str">
        <f>HYPERLINK("https://web.gekisaka.jp/news/detail/?324059-324059-fl","URLを開く")</f>
        <v>URLを開く</v>
      </c>
      <c r="J519" s="10" t="s">
        <v>23</v>
      </c>
      <c r="K519" s="10" t="s">
        <v>23</v>
      </c>
    </row>
    <row r="520" spans="1:11">
      <c r="A520" s="7" t="s">
        <v>684</v>
      </c>
      <c r="B520" s="7" t="s">
        <v>345</v>
      </c>
      <c r="C520" s="13" t="s">
        <v>1066</v>
      </c>
      <c r="D520" s="13" t="s">
        <v>23</v>
      </c>
      <c r="E520" s="5" t="s">
        <v>1067</v>
      </c>
      <c r="F520" s="5" t="s">
        <v>20</v>
      </c>
      <c r="G520" s="5" t="s">
        <v>33</v>
      </c>
      <c r="H520" s="5" t="s">
        <v>1068</v>
      </c>
      <c r="I520" s="6" t="str">
        <f>HYPERLINK("http://www.tour-journal.com/%E3%81%9D%E3%81%AE%E4%BB%96/160397.html","URLを開く")</f>
        <v>URLを開く</v>
      </c>
      <c r="J520" s="10" t="s">
        <v>23</v>
      </c>
      <c r="K520" s="10" t="s">
        <v>23</v>
      </c>
    </row>
    <row r="521" spans="1:11">
      <c r="A521" s="7" t="s">
        <v>684</v>
      </c>
      <c r="B521" s="7" t="s">
        <v>345</v>
      </c>
      <c r="C521" s="13" t="s">
        <v>42</v>
      </c>
      <c r="D521" s="13" t="s">
        <v>43</v>
      </c>
      <c r="E521" s="5" t="s">
        <v>1069</v>
      </c>
      <c r="F521" s="5" t="s">
        <v>20</v>
      </c>
      <c r="G521" s="5" t="s">
        <v>33</v>
      </c>
      <c r="H521" s="5" t="s">
        <v>1070</v>
      </c>
      <c r="I521" s="6" t="str">
        <f>HYPERLINK("https://news.line.me/issue/oa-andgp/o4i02rkjv9zn","URLを開く")</f>
        <v>URLを開く</v>
      </c>
      <c r="J521" s="10" t="s">
        <v>23</v>
      </c>
      <c r="K521" s="10" t="s">
        <v>23</v>
      </c>
    </row>
    <row r="522" spans="1:11">
      <c r="A522" s="7" t="s">
        <v>684</v>
      </c>
      <c r="B522" s="7" t="s">
        <v>345</v>
      </c>
      <c r="C522" s="13" t="s">
        <v>656</v>
      </c>
      <c r="D522" s="13" t="s">
        <v>23</v>
      </c>
      <c r="E522" s="5" t="s">
        <v>1071</v>
      </c>
      <c r="F522" s="5" t="s">
        <v>20</v>
      </c>
      <c r="G522" s="5" t="s">
        <v>27</v>
      </c>
      <c r="H522" s="5" t="s">
        <v>1072</v>
      </c>
      <c r="I522" s="6" t="str">
        <f>HYPERLINK("https://hashirou.com/article/page/nike-blue-ribbon-sports-items-onsale","URLを開く")</f>
        <v>URLを開く</v>
      </c>
      <c r="J522" s="10" t="s">
        <v>23</v>
      </c>
      <c r="K522" s="10" t="s">
        <v>23</v>
      </c>
    </row>
    <row r="523" spans="1:11">
      <c r="A523" s="7" t="s">
        <v>684</v>
      </c>
      <c r="B523" s="7" t="s">
        <v>345</v>
      </c>
      <c r="C523" s="13" t="s">
        <v>1073</v>
      </c>
      <c r="D523" s="13" t="s">
        <v>1074</v>
      </c>
      <c r="E523" s="5" t="s">
        <v>1075</v>
      </c>
      <c r="F523" s="5" t="s">
        <v>88</v>
      </c>
      <c r="G523" s="5" t="s">
        <v>27</v>
      </c>
      <c r="H523" s="5" t="s">
        <v>1076</v>
      </c>
      <c r="I523" s="6" t="str">
        <f>HYPERLINK("https://monomax.jp/archives/86216/","URLを開く")</f>
        <v>URLを開く</v>
      </c>
      <c r="J523" s="10" t="s">
        <v>23</v>
      </c>
      <c r="K523" s="10" t="s">
        <v>23</v>
      </c>
    </row>
    <row r="524" spans="1:11">
      <c r="A524" s="7" t="s">
        <v>684</v>
      </c>
      <c r="B524" s="7" t="s">
        <v>345</v>
      </c>
      <c r="C524" s="13" t="s">
        <v>554</v>
      </c>
      <c r="D524" s="13" t="s">
        <v>555</v>
      </c>
      <c r="E524" s="5" t="s">
        <v>556</v>
      </c>
      <c r="F524" s="5" t="s">
        <v>65</v>
      </c>
      <c r="G524" s="5" t="s">
        <v>33</v>
      </c>
      <c r="H524" s="5" t="s">
        <v>1077</v>
      </c>
      <c r="I524" s="6" t="str">
        <f>HYPERLINK("https://locari.jp/posts/1514304","URLを開く")</f>
        <v>URLを開く</v>
      </c>
      <c r="J524" s="10" t="s">
        <v>23</v>
      </c>
      <c r="K524" s="10" t="s">
        <v>23</v>
      </c>
    </row>
    <row r="525" spans="1:11">
      <c r="A525" s="7" t="s">
        <v>684</v>
      </c>
      <c r="B525" s="7" t="s">
        <v>345</v>
      </c>
      <c r="C525" s="13" t="s">
        <v>99</v>
      </c>
      <c r="D525" s="13" t="s">
        <v>100</v>
      </c>
      <c r="E525" s="5" t="s">
        <v>1078</v>
      </c>
      <c r="F525" s="5" t="s">
        <v>20</v>
      </c>
      <c r="G525" s="5" t="s">
        <v>33</v>
      </c>
      <c r="H525" s="5" t="s">
        <v>1079</v>
      </c>
      <c r="I525" s="6" t="str">
        <f>HYPERLINK("https://news.nifty.com/article/magazine/12208-962295/","URLを開く")</f>
        <v>URLを開く</v>
      </c>
      <c r="J525" s="10" t="s">
        <v>23</v>
      </c>
      <c r="K525" s="10" t="s">
        <v>23</v>
      </c>
    </row>
    <row r="526" spans="1:11">
      <c r="A526" s="7" t="s">
        <v>684</v>
      </c>
      <c r="B526" s="7" t="s">
        <v>345</v>
      </c>
      <c r="C526" s="13" t="s">
        <v>337</v>
      </c>
      <c r="D526" s="13" t="s">
        <v>338</v>
      </c>
      <c r="E526" s="5" t="s">
        <v>1078</v>
      </c>
      <c r="F526" s="5" t="s">
        <v>20</v>
      </c>
      <c r="G526" s="5" t="s">
        <v>33</v>
      </c>
      <c r="H526" s="5" t="s">
        <v>1080</v>
      </c>
      <c r="I526" s="6" t="str">
        <f>HYPERLINK("https://article.auone.jp/detail/1/3/6/7_6_r_20210212_1613102571540009","URLを開く")</f>
        <v>URLを開く</v>
      </c>
      <c r="J526" s="10" t="s">
        <v>23</v>
      </c>
      <c r="K526" s="10" t="s">
        <v>23</v>
      </c>
    </row>
    <row r="527" spans="1:11">
      <c r="A527" s="7" t="s">
        <v>684</v>
      </c>
      <c r="B527" s="7" t="s">
        <v>345</v>
      </c>
      <c r="C527" s="13" t="s">
        <v>42</v>
      </c>
      <c r="D527" s="13" t="s">
        <v>43</v>
      </c>
      <c r="E527" s="5" t="s">
        <v>1078</v>
      </c>
      <c r="F527" s="5" t="s">
        <v>20</v>
      </c>
      <c r="G527" s="5" t="s">
        <v>33</v>
      </c>
      <c r="H527" s="5" t="s">
        <v>1081</v>
      </c>
      <c r="I527" s="6" t="str">
        <f>HYPERLINK("https://news.line.me/articles/oa-rp25870/7349a9048c02","URLを開く")</f>
        <v>URLを開く</v>
      </c>
      <c r="J527" s="10" t="s">
        <v>23</v>
      </c>
      <c r="K527" s="10" t="s">
        <v>23</v>
      </c>
    </row>
    <row r="528" spans="1:11">
      <c r="A528" s="7" t="s">
        <v>684</v>
      </c>
      <c r="B528" s="7" t="s">
        <v>345</v>
      </c>
      <c r="C528" s="13" t="s">
        <v>279</v>
      </c>
      <c r="D528" s="13" t="s">
        <v>43</v>
      </c>
      <c r="E528" s="5" t="s">
        <v>1078</v>
      </c>
      <c r="F528" s="5" t="s">
        <v>20</v>
      </c>
      <c r="G528" s="5" t="s">
        <v>33</v>
      </c>
      <c r="H528" s="5" t="s">
        <v>1082</v>
      </c>
      <c r="I528" s="6" t="str">
        <f>HYPERLINK("https://news.livedoor.com/article/detail/19685136/","URLを開く")</f>
        <v>URLを開く</v>
      </c>
      <c r="J528" s="10" t="s">
        <v>23</v>
      </c>
      <c r="K528" s="10" t="s">
        <v>23</v>
      </c>
    </row>
    <row r="529" spans="1:11">
      <c r="A529" s="7" t="s">
        <v>684</v>
      </c>
      <c r="B529" s="7" t="s">
        <v>345</v>
      </c>
      <c r="C529" s="13" t="s">
        <v>246</v>
      </c>
      <c r="D529" s="13" t="s">
        <v>247</v>
      </c>
      <c r="E529" s="5" t="s">
        <v>1078</v>
      </c>
      <c r="F529" s="5" t="s">
        <v>20</v>
      </c>
      <c r="G529" s="5" t="s">
        <v>27</v>
      </c>
      <c r="H529" s="5" t="s">
        <v>1083</v>
      </c>
      <c r="I529" s="6" t="str">
        <f>HYPERLINK("https://toyokeizai.net/articles/-/404968","URLを開く")</f>
        <v>URLを開く</v>
      </c>
      <c r="J529" s="10" t="s">
        <v>29</v>
      </c>
      <c r="K529" s="10" t="s">
        <v>23</v>
      </c>
    </row>
    <row r="530" spans="1:11">
      <c r="A530" s="7" t="s">
        <v>684</v>
      </c>
      <c r="B530" s="7" t="s">
        <v>345</v>
      </c>
      <c r="C530" s="13" t="s">
        <v>142</v>
      </c>
      <c r="D530" s="13" t="s">
        <v>143</v>
      </c>
      <c r="E530" s="5" t="s">
        <v>1084</v>
      </c>
      <c r="F530" s="5" t="s">
        <v>20</v>
      </c>
      <c r="G530" s="5" t="s">
        <v>33</v>
      </c>
      <c r="H530" s="5" t="s">
        <v>1085</v>
      </c>
      <c r="I530" s="6" t="str">
        <f>HYPERLINK("https://news.goo.ne.jp/article/toyokeizai/bizskills/toyokeizai-404968.html","URLを開く")</f>
        <v>URLを開く</v>
      </c>
      <c r="J530" s="10" t="s">
        <v>23</v>
      </c>
      <c r="K530" s="10" t="s">
        <v>23</v>
      </c>
    </row>
    <row r="531" spans="1:11">
      <c r="A531" s="7" t="s">
        <v>684</v>
      </c>
      <c r="B531" s="7" t="s">
        <v>345</v>
      </c>
      <c r="C531" s="13" t="s">
        <v>109</v>
      </c>
      <c r="D531" s="13" t="s">
        <v>110</v>
      </c>
      <c r="E531" s="5" t="s">
        <v>1084</v>
      </c>
      <c r="F531" s="5" t="s">
        <v>20</v>
      </c>
      <c r="G531" s="5" t="s">
        <v>33</v>
      </c>
      <c r="H531" s="5" t="s">
        <v>1086</v>
      </c>
      <c r="I531" s="6" t="str">
        <f>HYPERLINK("https://news.infoseek.co.jp/article/toyokeizai_20210212_404968","URLを開く")</f>
        <v>URLを開く</v>
      </c>
      <c r="J531" s="10" t="s">
        <v>23</v>
      </c>
      <c r="K531" s="10" t="s">
        <v>23</v>
      </c>
    </row>
    <row r="532" spans="1:11">
      <c r="A532" s="7" t="s">
        <v>684</v>
      </c>
      <c r="B532" s="7" t="s">
        <v>345</v>
      </c>
      <c r="C532" s="13" t="s">
        <v>109</v>
      </c>
      <c r="D532" s="13" t="s">
        <v>110</v>
      </c>
      <c r="E532" s="5" t="s">
        <v>1084</v>
      </c>
      <c r="F532" s="5" t="s">
        <v>20</v>
      </c>
      <c r="G532" s="5" t="s">
        <v>33</v>
      </c>
      <c r="H532" s="5" t="s">
        <v>1087</v>
      </c>
      <c r="I532" s="6" t="str">
        <f>HYPERLINK("https://news.infoseek.co.jp/article/toyokeizai_20210212_404968/","URLを開く")</f>
        <v>URLを開く</v>
      </c>
      <c r="J532" s="10" t="s">
        <v>23</v>
      </c>
      <c r="K532" s="10" t="s">
        <v>23</v>
      </c>
    </row>
    <row r="533" spans="1:11">
      <c r="A533" s="7" t="s">
        <v>684</v>
      </c>
      <c r="B533" s="7" t="s">
        <v>345</v>
      </c>
      <c r="C533" s="13" t="s">
        <v>50</v>
      </c>
      <c r="D533" s="13" t="s">
        <v>51</v>
      </c>
      <c r="E533" s="5" t="s">
        <v>1088</v>
      </c>
      <c r="F533" s="5" t="s">
        <v>20</v>
      </c>
      <c r="G533" s="5" t="s">
        <v>33</v>
      </c>
      <c r="H533" s="5" t="s">
        <v>1089</v>
      </c>
      <c r="I533" s="6" t="str">
        <f>HYPERLINK("https://news.yahoo.co.jp/articles/af9ed579717e864b4d8a696de06e965020f7954e","URLを開く")</f>
        <v>URLを開く</v>
      </c>
      <c r="J533" s="10" t="s">
        <v>23</v>
      </c>
      <c r="K533" s="10" t="s">
        <v>23</v>
      </c>
    </row>
    <row r="534" spans="1:11">
      <c r="A534" s="7" t="s">
        <v>684</v>
      </c>
      <c r="B534" s="7" t="s">
        <v>345</v>
      </c>
      <c r="C534" s="13" t="s">
        <v>462</v>
      </c>
      <c r="D534" s="13" t="s">
        <v>462</v>
      </c>
      <c r="E534" s="5" t="s">
        <v>1088</v>
      </c>
      <c r="F534" s="5" t="s">
        <v>20</v>
      </c>
      <c r="G534" s="5" t="s">
        <v>33</v>
      </c>
      <c r="H534" s="5" t="s">
        <v>1090</v>
      </c>
      <c r="I534" s="6" t="str">
        <f>HYPERLINK("https://finance.yahoo.co.jp/news/detail/20210212-00404968-toyo-column","URLを開く")</f>
        <v>URLを開く</v>
      </c>
      <c r="J534" s="10" t="s">
        <v>23</v>
      </c>
      <c r="K534" s="10" t="s">
        <v>23</v>
      </c>
    </row>
    <row r="535" spans="1:11">
      <c r="A535" s="7" t="s">
        <v>684</v>
      </c>
      <c r="B535" s="7" t="s">
        <v>345</v>
      </c>
      <c r="C535" s="13" t="s">
        <v>146</v>
      </c>
      <c r="D535" s="13" t="s">
        <v>147</v>
      </c>
      <c r="E535" s="5" t="s">
        <v>1091</v>
      </c>
      <c r="F535" s="5" t="s">
        <v>20</v>
      </c>
      <c r="G535" s="5" t="s">
        <v>33</v>
      </c>
      <c r="H535" s="5" t="s">
        <v>1092</v>
      </c>
      <c r="I535" s="6" t="str">
        <f>HYPERLINK("http://topics.smt.docomo.ne.jp/article/toyokeizai/bizskills/toyokeizai-404968?fm=latestnews","URLを開く")</f>
        <v>URLを開く</v>
      </c>
      <c r="J535" s="10" t="s">
        <v>23</v>
      </c>
      <c r="K535" s="10" t="s">
        <v>23</v>
      </c>
    </row>
    <row r="536" spans="1:11">
      <c r="A536" s="7" t="s">
        <v>684</v>
      </c>
      <c r="B536" s="7" t="s">
        <v>345</v>
      </c>
      <c r="C536" s="13" t="s">
        <v>42</v>
      </c>
      <c r="D536" s="13" t="s">
        <v>43</v>
      </c>
      <c r="E536" s="5" t="s">
        <v>1093</v>
      </c>
      <c r="F536" s="5" t="s">
        <v>40</v>
      </c>
      <c r="G536" s="5" t="s">
        <v>33</v>
      </c>
      <c r="H536" s="5" t="s">
        <v>1094</v>
      </c>
      <c r="I536" s="6" t="str">
        <f>HYPERLINK("https://news.line.me/articles/oa-rp73180/2eac63de9ca8","URLを開く")</f>
        <v>URLを開く</v>
      </c>
      <c r="J536" s="10" t="s">
        <v>23</v>
      </c>
      <c r="K536" s="10" t="s">
        <v>23</v>
      </c>
    </row>
    <row r="537" spans="1:11">
      <c r="A537" s="7" t="s">
        <v>684</v>
      </c>
      <c r="B537" s="7" t="s">
        <v>345</v>
      </c>
      <c r="C537" s="13" t="s">
        <v>162</v>
      </c>
      <c r="D537" s="13" t="s">
        <v>163</v>
      </c>
      <c r="E537" s="5" t="s">
        <v>1093</v>
      </c>
      <c r="F537" s="5" t="s">
        <v>40</v>
      </c>
      <c r="G537" s="5" t="s">
        <v>33</v>
      </c>
      <c r="H537" s="5" t="s">
        <v>1095</v>
      </c>
      <c r="I537" s="6" t="str">
        <f>HYPERLINK("https://gunosy.com/articles/eb0l6","URLを開く")</f>
        <v>URLを開く</v>
      </c>
      <c r="J537" s="10" t="s">
        <v>23</v>
      </c>
      <c r="K537" s="10" t="s">
        <v>23</v>
      </c>
    </row>
    <row r="538" spans="1:11">
      <c r="A538" s="7" t="s">
        <v>684</v>
      </c>
      <c r="B538" s="7" t="s">
        <v>345</v>
      </c>
      <c r="C538" s="13" t="s">
        <v>1096</v>
      </c>
      <c r="D538" s="13" t="s">
        <v>1097</v>
      </c>
      <c r="E538" s="5" t="s">
        <v>1098</v>
      </c>
      <c r="F538" s="5" t="s">
        <v>65</v>
      </c>
      <c r="G538" s="5" t="s">
        <v>27</v>
      </c>
      <c r="H538" s="5" t="s">
        <v>1099</v>
      </c>
      <c r="I538" s="6" t="str">
        <f>HYPERLINK("https://www.theheadline.jp/articles/369","URLを開く")</f>
        <v>URLを開く</v>
      </c>
      <c r="J538" s="10" t="s">
        <v>23</v>
      </c>
      <c r="K538" s="10" t="s">
        <v>23</v>
      </c>
    </row>
    <row r="539" spans="1:11">
      <c r="A539" s="7" t="s">
        <v>684</v>
      </c>
      <c r="B539" s="7" t="s">
        <v>345</v>
      </c>
      <c r="C539" s="13" t="s">
        <v>1100</v>
      </c>
      <c r="D539" s="13" t="s">
        <v>196</v>
      </c>
      <c r="E539" s="5" t="s">
        <v>1101</v>
      </c>
      <c r="F539" s="5" t="s">
        <v>188</v>
      </c>
      <c r="G539" s="5" t="s">
        <v>27</v>
      </c>
      <c r="H539" s="5" t="s">
        <v>1102</v>
      </c>
      <c r="I539" s="6" t="str">
        <f>HYPERLINK("https://thebest-1.com/a4491/","URLを開く")</f>
        <v>URLを開く</v>
      </c>
      <c r="J539" s="10" t="s">
        <v>23</v>
      </c>
      <c r="K539" s="10" t="s">
        <v>23</v>
      </c>
    </row>
    <row r="540" spans="1:11">
      <c r="A540" s="7" t="s">
        <v>684</v>
      </c>
      <c r="B540" s="7" t="s">
        <v>345</v>
      </c>
      <c r="C540" s="13" t="s">
        <v>1103</v>
      </c>
      <c r="D540" s="13" t="s">
        <v>508</v>
      </c>
      <c r="E540" s="5" t="s">
        <v>1104</v>
      </c>
      <c r="F540" s="5" t="s">
        <v>20</v>
      </c>
      <c r="G540" s="5" t="s">
        <v>27</v>
      </c>
      <c r="H540" s="5" t="s">
        <v>1105</v>
      </c>
      <c r="I540" s="6" t="str">
        <f>HYPERLINK("https://voguegirl.jp/fashion/trend_fashion/20210212/timothee-chalamet-baseball-caps/","URLを開く")</f>
        <v>URLを開く</v>
      </c>
      <c r="J540" s="10" t="s">
        <v>23</v>
      </c>
      <c r="K540" s="10" t="s">
        <v>23</v>
      </c>
    </row>
    <row r="541" spans="1:11">
      <c r="A541" s="7" t="s">
        <v>684</v>
      </c>
      <c r="B541" s="7" t="s">
        <v>345</v>
      </c>
      <c r="C541" s="13" t="s">
        <v>162</v>
      </c>
      <c r="D541" s="13" t="s">
        <v>163</v>
      </c>
      <c r="E541" s="5" t="s">
        <v>1106</v>
      </c>
      <c r="F541" s="5" t="s">
        <v>40</v>
      </c>
      <c r="G541" s="5" t="s">
        <v>33</v>
      </c>
      <c r="H541" s="5" t="s">
        <v>1107</v>
      </c>
      <c r="I541" s="6" t="str">
        <f>HYPERLINK("https://gunosy.com/articles/a5by5","URLを開く")</f>
        <v>URLを開く</v>
      </c>
      <c r="J541" s="10" t="s">
        <v>23</v>
      </c>
      <c r="K541" s="10" t="s">
        <v>23</v>
      </c>
    </row>
    <row r="542" spans="1:11">
      <c r="A542" s="7" t="s">
        <v>684</v>
      </c>
      <c r="B542" s="7" t="s">
        <v>345</v>
      </c>
      <c r="C542" s="13" t="s">
        <v>1108</v>
      </c>
      <c r="D542" s="13" t="s">
        <v>196</v>
      </c>
      <c r="E542" s="5" t="s">
        <v>1109</v>
      </c>
      <c r="F542" s="5" t="s">
        <v>88</v>
      </c>
      <c r="G542" s="5" t="s">
        <v>27</v>
      </c>
      <c r="H542" s="5" t="s">
        <v>1110</v>
      </c>
      <c r="I542" s="6" t="str">
        <f>HYPERLINK("https://allabout.co.jp/gm/gc/486984/","URLを開く")</f>
        <v>URLを開く</v>
      </c>
      <c r="J542" s="10" t="s">
        <v>23</v>
      </c>
      <c r="K542" s="10" t="s">
        <v>23</v>
      </c>
    </row>
    <row r="543" spans="1:11">
      <c r="A543" s="7" t="s">
        <v>684</v>
      </c>
      <c r="B543" s="7" t="s">
        <v>345</v>
      </c>
      <c r="C543" s="13" t="s">
        <v>554</v>
      </c>
      <c r="D543" s="13" t="s">
        <v>555</v>
      </c>
      <c r="E543" s="5" t="s">
        <v>1109</v>
      </c>
      <c r="F543" s="5" t="s">
        <v>88</v>
      </c>
      <c r="G543" s="5" t="s">
        <v>33</v>
      </c>
      <c r="H543" s="5" t="s">
        <v>1111</v>
      </c>
      <c r="I543" s="6" t="str">
        <f>HYPERLINK("https://locari.jp/posts/1542311?utm_content=content-categorised","URLを開く")</f>
        <v>URLを開く</v>
      </c>
      <c r="J543" s="10" t="s">
        <v>23</v>
      </c>
      <c r="K543" s="10" t="s">
        <v>23</v>
      </c>
    </row>
    <row r="544" spans="1:11">
      <c r="A544" s="7" t="s">
        <v>684</v>
      </c>
      <c r="B544" s="7" t="s">
        <v>345</v>
      </c>
      <c r="C544" s="13" t="s">
        <v>554</v>
      </c>
      <c r="D544" s="13" t="s">
        <v>555</v>
      </c>
      <c r="E544" s="5" t="s">
        <v>1109</v>
      </c>
      <c r="F544" s="5" t="s">
        <v>88</v>
      </c>
      <c r="G544" s="5" t="s">
        <v>33</v>
      </c>
      <c r="H544" s="5" t="s">
        <v>1112</v>
      </c>
      <c r="I544" s="6" t="str">
        <f>HYPERLINK("https://locari.jp/posts/1542311?utm_content=aside","URLを開く")</f>
        <v>URLを開く</v>
      </c>
      <c r="J544" s="10" t="s">
        <v>23</v>
      </c>
      <c r="K544" s="10" t="s">
        <v>23</v>
      </c>
    </row>
    <row r="545" spans="1:11">
      <c r="A545" s="7" t="s">
        <v>684</v>
      </c>
      <c r="B545" s="7" t="s">
        <v>345</v>
      </c>
      <c r="C545" s="13" t="s">
        <v>528</v>
      </c>
      <c r="D545" s="13" t="s">
        <v>179</v>
      </c>
      <c r="E545" s="5" t="s">
        <v>1113</v>
      </c>
      <c r="F545" s="5" t="s">
        <v>65</v>
      </c>
      <c r="G545" s="5" t="s">
        <v>27</v>
      </c>
      <c r="H545" s="5" t="s">
        <v>1114</v>
      </c>
      <c r="I545" s="6" t="str">
        <f>HYPERLINK("https://www.vivi.tv/post180034/","URLを開く")</f>
        <v>URLを開く</v>
      </c>
      <c r="J545" s="10" t="s">
        <v>23</v>
      </c>
      <c r="K545" s="10" t="s">
        <v>23</v>
      </c>
    </row>
    <row r="546" spans="1:11">
      <c r="A546" s="7" t="s">
        <v>684</v>
      </c>
      <c r="B546" s="7" t="s">
        <v>345</v>
      </c>
      <c r="C546" s="13" t="s">
        <v>103</v>
      </c>
      <c r="D546" s="13" t="s">
        <v>104</v>
      </c>
      <c r="E546" s="5" t="s">
        <v>1115</v>
      </c>
      <c r="F546" s="5" t="s">
        <v>93</v>
      </c>
      <c r="G546" s="5" t="s">
        <v>33</v>
      </c>
      <c r="H546" s="5" t="s">
        <v>1116</v>
      </c>
      <c r="I546" s="6" t="str">
        <f>HYPERLINK("https://www.excite.co.jp/news/article/Gekisaka_324083-324083-fl/","URLを開く")</f>
        <v>URLを開く</v>
      </c>
      <c r="J546" s="10" t="s">
        <v>23</v>
      </c>
      <c r="K546" s="10" t="s">
        <v>23</v>
      </c>
    </row>
    <row r="547" spans="1:11">
      <c r="A547" s="7" t="s">
        <v>684</v>
      </c>
      <c r="B547" s="7" t="s">
        <v>345</v>
      </c>
      <c r="C547" s="13" t="s">
        <v>162</v>
      </c>
      <c r="D547" s="13" t="s">
        <v>163</v>
      </c>
      <c r="E547" s="5" t="s">
        <v>1115</v>
      </c>
      <c r="F547" s="5" t="s">
        <v>93</v>
      </c>
      <c r="G547" s="5" t="s">
        <v>33</v>
      </c>
      <c r="H547" s="5" t="s">
        <v>1117</v>
      </c>
      <c r="I547" s="6" t="str">
        <f>HYPERLINK("https://gunosy.com/articles/aIhy5","URLを開く")</f>
        <v>URLを開く</v>
      </c>
      <c r="J547" s="10" t="s">
        <v>23</v>
      </c>
      <c r="K547" s="10" t="s">
        <v>23</v>
      </c>
    </row>
    <row r="548" spans="1:11">
      <c r="A548" s="7" t="s">
        <v>684</v>
      </c>
      <c r="B548" s="7" t="s">
        <v>345</v>
      </c>
      <c r="C548" s="13" t="s">
        <v>1064</v>
      </c>
      <c r="D548" s="13" t="s">
        <v>179</v>
      </c>
      <c r="E548" s="5" t="s">
        <v>1115</v>
      </c>
      <c r="F548" s="5" t="s">
        <v>93</v>
      </c>
      <c r="G548" s="5" t="s">
        <v>33</v>
      </c>
      <c r="H548" s="5" t="s">
        <v>1118</v>
      </c>
      <c r="I548" s="6" t="str">
        <f>HYPERLINK("https://web.gekisaka.jp/news/detail/?324083-324083-fl","URLを開く")</f>
        <v>URLを開く</v>
      </c>
      <c r="J548" s="10" t="s">
        <v>23</v>
      </c>
      <c r="K548" s="10" t="s">
        <v>23</v>
      </c>
    </row>
    <row r="549" spans="1:11">
      <c r="A549" s="7" t="s">
        <v>684</v>
      </c>
      <c r="B549" s="7" t="s">
        <v>345</v>
      </c>
      <c r="C549" s="13" t="s">
        <v>458</v>
      </c>
      <c r="D549" s="13" t="s">
        <v>459</v>
      </c>
      <c r="E549" s="5" t="s">
        <v>1119</v>
      </c>
      <c r="F549" s="5" t="s">
        <v>20</v>
      </c>
      <c r="G549" s="5" t="s">
        <v>27</v>
      </c>
      <c r="H549" s="5" t="s">
        <v>1120</v>
      </c>
      <c r="I549" s="6" t="str">
        <f>HYPERLINK("https://www.nikkei.com/article/DGXZQOFK094L20Z00C21A2000000/","URLを開く")</f>
        <v>URLを開く</v>
      </c>
      <c r="J549" s="10" t="s">
        <v>29</v>
      </c>
      <c r="K549" s="10" t="s">
        <v>23</v>
      </c>
    </row>
    <row r="550" spans="1:11">
      <c r="A550" s="7" t="s">
        <v>684</v>
      </c>
      <c r="B550" s="7" t="s">
        <v>345</v>
      </c>
      <c r="C550" s="13" t="s">
        <v>458</v>
      </c>
      <c r="D550" s="13" t="s">
        <v>459</v>
      </c>
      <c r="E550" s="5" t="s">
        <v>1119</v>
      </c>
      <c r="F550" s="5" t="s">
        <v>20</v>
      </c>
      <c r="G550" s="5" t="s">
        <v>27</v>
      </c>
      <c r="H550" s="5" t="s">
        <v>1121</v>
      </c>
      <c r="I550" s="6" t="str">
        <f>HYPERLINK("https://www.nikkei.com/nkd/company/article/?DisplayType=1&amp;ba=1&amp;ng=DGXZQOFK094L20Z00C21A2000000&amp;scode=9064","URLを開く")</f>
        <v>URLを開く</v>
      </c>
      <c r="J550" s="10" t="s">
        <v>23</v>
      </c>
      <c r="K550" s="10" t="s">
        <v>23</v>
      </c>
    </row>
    <row r="551" spans="1:11">
      <c r="A551" s="7" t="s">
        <v>684</v>
      </c>
      <c r="B551" s="7" t="s">
        <v>345</v>
      </c>
      <c r="C551" s="13" t="s">
        <v>458</v>
      </c>
      <c r="D551" s="13" t="s">
        <v>459</v>
      </c>
      <c r="E551" s="5" t="s">
        <v>1119</v>
      </c>
      <c r="F551" s="5" t="s">
        <v>20</v>
      </c>
      <c r="G551" s="5" t="s">
        <v>27</v>
      </c>
      <c r="H551" s="5" t="s">
        <v>1122</v>
      </c>
      <c r="I551" s="6" t="str">
        <f>HYPERLINK("https://www.nikkei.com/nkd/company/article/?DisplayType=1&amp;ba=1&amp;ng=DGXZQOFK094L20Z00C21A2000000&amp;scode=9090","URLを開く")</f>
        <v>URLを開く</v>
      </c>
      <c r="J551" s="10" t="s">
        <v>23</v>
      </c>
      <c r="K551" s="10" t="s">
        <v>23</v>
      </c>
    </row>
    <row r="552" spans="1:11">
      <c r="A552" s="7" t="s">
        <v>684</v>
      </c>
      <c r="B552" s="7" t="s">
        <v>345</v>
      </c>
      <c r="C552" s="13" t="s">
        <v>458</v>
      </c>
      <c r="D552" s="13" t="s">
        <v>459</v>
      </c>
      <c r="E552" s="5" t="s">
        <v>1119</v>
      </c>
      <c r="F552" s="5" t="s">
        <v>20</v>
      </c>
      <c r="G552" s="5" t="s">
        <v>27</v>
      </c>
      <c r="H552" s="5" t="s">
        <v>1123</v>
      </c>
      <c r="I552" s="6" t="str">
        <f>HYPERLINK("https://www.nikkei.com/nkd/company/article/?DisplayType=1&amp;ba=1&amp;ng=DGXZQOFK094L20Z00C21A2000000&amp;scode=9143","URLを開く")</f>
        <v>URLを開く</v>
      </c>
      <c r="J552" s="10" t="s">
        <v>23</v>
      </c>
      <c r="K552" s="10" t="s">
        <v>23</v>
      </c>
    </row>
    <row r="553" spans="1:11">
      <c r="A553" s="7" t="s">
        <v>684</v>
      </c>
      <c r="B553" s="7" t="s">
        <v>345</v>
      </c>
      <c r="C553" s="13" t="s">
        <v>1124</v>
      </c>
      <c r="D553" s="13" t="s">
        <v>1125</v>
      </c>
      <c r="E553" s="5" t="s">
        <v>1126</v>
      </c>
      <c r="F553" s="5" t="s">
        <v>40</v>
      </c>
      <c r="G553" s="5" t="s">
        <v>27</v>
      </c>
      <c r="H553" s="5" t="s">
        <v>1127</v>
      </c>
      <c r="I553" s="6" t="str">
        <f>HYPERLINK("https://boxmob.jp/sp/news/index.html?n=1&amp;nid=26578","URLを開く")</f>
        <v>URLを開く</v>
      </c>
      <c r="J553" s="10" t="s">
        <v>23</v>
      </c>
      <c r="K553" s="10" t="s">
        <v>23</v>
      </c>
    </row>
    <row r="554" spans="1:11">
      <c r="A554" s="7" t="s">
        <v>684</v>
      </c>
      <c r="B554" s="7" t="s">
        <v>345</v>
      </c>
      <c r="C554" s="13" t="s">
        <v>1124</v>
      </c>
      <c r="D554" s="13" t="s">
        <v>1125</v>
      </c>
      <c r="E554" s="5" t="s">
        <v>1126</v>
      </c>
      <c r="F554" s="5" t="s">
        <v>40</v>
      </c>
      <c r="G554" s="5" t="s">
        <v>27</v>
      </c>
      <c r="H554" s="5" t="s">
        <v>1128</v>
      </c>
      <c r="I554" s="6" t="str">
        <f>HYPERLINK("https://boxmob.jp/sp/news/index.html?nid=26578&amp;type=1","URLを開く")</f>
        <v>URLを開く</v>
      </c>
      <c r="J554" s="10" t="s">
        <v>23</v>
      </c>
      <c r="K554" s="10" t="s">
        <v>23</v>
      </c>
    </row>
    <row r="555" spans="1:11">
      <c r="A555" s="7" t="s">
        <v>684</v>
      </c>
      <c r="B555" s="7" t="s">
        <v>345</v>
      </c>
      <c r="C555" s="13" t="s">
        <v>50</v>
      </c>
      <c r="D555" s="13" t="s">
        <v>51</v>
      </c>
      <c r="E555" s="5" t="s">
        <v>1129</v>
      </c>
      <c r="F555" s="5" t="s">
        <v>93</v>
      </c>
      <c r="G555" s="5" t="s">
        <v>33</v>
      </c>
      <c r="H555" s="5" t="s">
        <v>1130</v>
      </c>
      <c r="I555" s="6" t="str">
        <f>HYPERLINK("https://news.yahoo.co.jp/articles/669e0c9f40ce447868d368d303b593bb61b876ad","URLを開く")</f>
        <v>URLを開く</v>
      </c>
      <c r="J555" s="10" t="s">
        <v>23</v>
      </c>
      <c r="K555" s="10" t="s">
        <v>23</v>
      </c>
    </row>
    <row r="556" spans="1:11">
      <c r="A556" s="7" t="s">
        <v>684</v>
      </c>
      <c r="B556" s="7" t="s">
        <v>345</v>
      </c>
      <c r="C556" s="13" t="s">
        <v>50</v>
      </c>
      <c r="D556" s="13" t="s">
        <v>51</v>
      </c>
      <c r="E556" s="5" t="s">
        <v>1131</v>
      </c>
      <c r="F556" s="5" t="s">
        <v>20</v>
      </c>
      <c r="G556" s="5" t="s">
        <v>33</v>
      </c>
      <c r="H556" s="5" t="s">
        <v>1132</v>
      </c>
      <c r="I556" s="6" t="str">
        <f>HYPERLINK("https://news.yahoo.co.jp/articles/b0f2c7fd895e9a2eeb2e45727e95ebb4af3c7b98","URLを開く")</f>
        <v>URLを開く</v>
      </c>
      <c r="J556" s="10" t="s">
        <v>23</v>
      </c>
      <c r="K556" s="10" t="s">
        <v>23</v>
      </c>
    </row>
    <row r="557" spans="1:11">
      <c r="A557" s="7" t="s">
        <v>684</v>
      </c>
      <c r="B557" s="7" t="s">
        <v>345</v>
      </c>
      <c r="C557" s="13" t="s">
        <v>1133</v>
      </c>
      <c r="D557" s="13" t="s">
        <v>1134</v>
      </c>
      <c r="E557" s="5" t="s">
        <v>1135</v>
      </c>
      <c r="F557" s="5" t="s">
        <v>40</v>
      </c>
      <c r="G557" s="5" t="s">
        <v>27</v>
      </c>
      <c r="H557" s="5" t="s">
        <v>1136</v>
      </c>
      <c r="I557" s="6" t="str">
        <f>HYPERLINK("https://www.advertimes.com/20210212/article338672/","URLを開く")</f>
        <v>URLを開く</v>
      </c>
      <c r="J557" s="10" t="s">
        <v>29</v>
      </c>
      <c r="K557" s="10" t="s">
        <v>23</v>
      </c>
    </row>
    <row r="558" spans="1:11">
      <c r="A558" s="7" t="s">
        <v>684</v>
      </c>
      <c r="B558" s="7" t="s">
        <v>345</v>
      </c>
      <c r="C558" s="13" t="s">
        <v>1137</v>
      </c>
      <c r="D558" s="13" t="s">
        <v>271</v>
      </c>
      <c r="E558" s="5" t="s">
        <v>274</v>
      </c>
      <c r="F558" s="5" t="s">
        <v>20</v>
      </c>
      <c r="G558" s="5" t="s">
        <v>27</v>
      </c>
      <c r="H558" s="5" t="s">
        <v>1138</v>
      </c>
      <c r="I558" s="6" t="str">
        <f>HYPERLINK("https://www.webuomo.jp/fashion/118632/","URLを開く")</f>
        <v>URLを開く</v>
      </c>
      <c r="J558" s="10" t="s">
        <v>23</v>
      </c>
      <c r="K558" s="10" t="s">
        <v>29</v>
      </c>
    </row>
    <row r="559" spans="1:11">
      <c r="A559" s="7" t="s">
        <v>684</v>
      </c>
      <c r="B559" s="7" t="s">
        <v>345</v>
      </c>
      <c r="C559" s="13" t="s">
        <v>1139</v>
      </c>
      <c r="D559" s="13" t="s">
        <v>1140</v>
      </c>
      <c r="E559" s="5" t="s">
        <v>1141</v>
      </c>
      <c r="F559" s="5" t="s">
        <v>93</v>
      </c>
      <c r="G559" s="5" t="s">
        <v>27</v>
      </c>
      <c r="H559" s="5" t="s">
        <v>1142</v>
      </c>
      <c r="I559" s="6" t="str">
        <f>HYPERLINK("https://style.nikkei.com/article/DGXMZO68645130Z20C21A1000000?channel=DF090520183798","URLを開く")</f>
        <v>URLを開く</v>
      </c>
      <c r="J559" s="10" t="s">
        <v>23</v>
      </c>
      <c r="K559" s="10" t="s">
        <v>23</v>
      </c>
    </row>
    <row r="560" spans="1:11">
      <c r="A560" s="7" t="s">
        <v>684</v>
      </c>
      <c r="B560" s="7" t="s">
        <v>345</v>
      </c>
      <c r="C560" s="13" t="s">
        <v>1143</v>
      </c>
      <c r="D560" s="13" t="s">
        <v>1144</v>
      </c>
      <c r="E560" s="5" t="s">
        <v>1145</v>
      </c>
      <c r="F560" s="5" t="s">
        <v>88</v>
      </c>
      <c r="G560" s="5" t="s">
        <v>27</v>
      </c>
      <c r="H560" s="5" t="s">
        <v>1146</v>
      </c>
      <c r="I560" s="6" t="str">
        <f>HYPERLINK("https://forbesjapan.com/articles/detail/39735","URLを開く")</f>
        <v>URLを開く</v>
      </c>
      <c r="J560" s="10" t="s">
        <v>29</v>
      </c>
      <c r="K560" s="10" t="s">
        <v>23</v>
      </c>
    </row>
    <row r="561" spans="1:11">
      <c r="A561" s="7" t="s">
        <v>684</v>
      </c>
      <c r="B561" s="7" t="s">
        <v>345</v>
      </c>
      <c r="C561" s="13" t="s">
        <v>50</v>
      </c>
      <c r="D561" s="13" t="s">
        <v>51</v>
      </c>
      <c r="E561" s="5" t="s">
        <v>1145</v>
      </c>
      <c r="F561" s="5" t="s">
        <v>88</v>
      </c>
      <c r="G561" s="5" t="s">
        <v>33</v>
      </c>
      <c r="H561" s="5" t="s">
        <v>1147</v>
      </c>
      <c r="I561" s="6" t="str">
        <f>HYPERLINK("https://news.yahoo.co.jp/articles/2aef955cf136e73be5bf25db38eea934b2a2538f","URLを開く")</f>
        <v>URLを開く</v>
      </c>
      <c r="J561" s="10" t="s">
        <v>23</v>
      </c>
      <c r="K561" s="10" t="s">
        <v>23</v>
      </c>
    </row>
    <row r="562" spans="1:11">
      <c r="A562" s="7" t="s">
        <v>684</v>
      </c>
      <c r="B562" s="7" t="s">
        <v>345</v>
      </c>
      <c r="C562" s="13" t="s">
        <v>162</v>
      </c>
      <c r="D562" s="13" t="s">
        <v>163</v>
      </c>
      <c r="E562" s="5" t="s">
        <v>1148</v>
      </c>
      <c r="F562" s="5" t="s">
        <v>88</v>
      </c>
      <c r="G562" s="5" t="s">
        <v>33</v>
      </c>
      <c r="H562" s="5" t="s">
        <v>1149</v>
      </c>
      <c r="I562" s="6" t="str">
        <f>HYPERLINK("https://gunosy.com/articles/aJLcC","URLを開く")</f>
        <v>URLを開く</v>
      </c>
      <c r="J562" s="10" t="s">
        <v>23</v>
      </c>
      <c r="K562" s="10" t="s">
        <v>23</v>
      </c>
    </row>
    <row r="563" spans="1:11">
      <c r="A563" s="7" t="s">
        <v>684</v>
      </c>
      <c r="B563" s="7" t="s">
        <v>345</v>
      </c>
      <c r="C563" s="13" t="s">
        <v>1150</v>
      </c>
      <c r="D563" s="13" t="s">
        <v>1151</v>
      </c>
      <c r="E563" s="5" t="s">
        <v>1152</v>
      </c>
      <c r="F563" s="5" t="s">
        <v>20</v>
      </c>
      <c r="G563" s="5" t="s">
        <v>21</v>
      </c>
      <c r="H563" s="5" t="s">
        <v>1153</v>
      </c>
      <c r="I563" s="6" t="str">
        <f>HYPERLINK("http://www.creators-station.jp/news/20210212-3","URLを開く")</f>
        <v>URLを開く</v>
      </c>
      <c r="J563" s="10" t="s">
        <v>23</v>
      </c>
      <c r="K563" s="10" t="s">
        <v>23</v>
      </c>
    </row>
    <row r="564" spans="1:11">
      <c r="A564" s="7" t="s">
        <v>684</v>
      </c>
      <c r="B564" s="7" t="s">
        <v>345</v>
      </c>
      <c r="C564" s="13" t="s">
        <v>596</v>
      </c>
      <c r="D564" s="13" t="s">
        <v>597</v>
      </c>
      <c r="E564" s="5" t="s">
        <v>1154</v>
      </c>
      <c r="F564" s="5" t="s">
        <v>20</v>
      </c>
      <c r="G564" s="5" t="s">
        <v>27</v>
      </c>
      <c r="H564" s="5" t="s">
        <v>1155</v>
      </c>
      <c r="I564" s="6" t="str">
        <f>HYPERLINK("https://mainichi.jp/articles/20210212/k00/00m/040/027000c","URLを開く")</f>
        <v>URLを開く</v>
      </c>
      <c r="J564" s="10" t="s">
        <v>29</v>
      </c>
      <c r="K564" s="10" t="s">
        <v>23</v>
      </c>
    </row>
    <row r="565" spans="1:11">
      <c r="A565" s="7" t="s">
        <v>684</v>
      </c>
      <c r="B565" s="7" t="s">
        <v>345</v>
      </c>
      <c r="C565" s="13" t="s">
        <v>279</v>
      </c>
      <c r="D565" s="13" t="s">
        <v>43</v>
      </c>
      <c r="E565" s="5" t="s">
        <v>1156</v>
      </c>
      <c r="F565" s="5" t="s">
        <v>40</v>
      </c>
      <c r="G565" s="5" t="s">
        <v>33</v>
      </c>
      <c r="H565" s="5" t="s">
        <v>1157</v>
      </c>
      <c r="I565" s="6" t="str">
        <f>HYPERLINK("https://news.livedoor.com/article/detail/19685953/","URLを開く")</f>
        <v>URLを開く</v>
      </c>
      <c r="J565" s="10" t="s">
        <v>23</v>
      </c>
      <c r="K565" s="10" t="s">
        <v>23</v>
      </c>
    </row>
    <row r="566" spans="1:11">
      <c r="A566" s="7" t="s">
        <v>684</v>
      </c>
      <c r="B566" s="7" t="s">
        <v>345</v>
      </c>
      <c r="C566" s="13" t="s">
        <v>1158</v>
      </c>
      <c r="D566" s="13" t="s">
        <v>218</v>
      </c>
      <c r="E566" s="5" t="s">
        <v>1159</v>
      </c>
      <c r="F566" s="5" t="s">
        <v>65</v>
      </c>
      <c r="G566" s="5" t="s">
        <v>21</v>
      </c>
      <c r="H566" s="5" t="s">
        <v>1160</v>
      </c>
      <c r="I566" s="6" t="str">
        <f>HYPERLINK("https://30min.jp/release/prtimes/detail/205416","URLを開く")</f>
        <v>URLを開く</v>
      </c>
      <c r="J566" s="10" t="s">
        <v>23</v>
      </c>
      <c r="K566" s="10" t="s">
        <v>23</v>
      </c>
    </row>
    <row r="567" spans="1:11">
      <c r="A567" s="7" t="s">
        <v>684</v>
      </c>
      <c r="B567" s="7" t="s">
        <v>345</v>
      </c>
      <c r="C567" s="13" t="s">
        <v>252</v>
      </c>
      <c r="D567" s="13" t="s">
        <v>253</v>
      </c>
      <c r="E567" s="5" t="s">
        <v>1161</v>
      </c>
      <c r="F567" s="5" t="s">
        <v>65</v>
      </c>
      <c r="G567" s="5" t="s">
        <v>21</v>
      </c>
      <c r="H567" s="5" t="s">
        <v>1162</v>
      </c>
      <c r="I567" s="6" t="str">
        <f>HYPERLINK("https://yab.yomiuri.co.jp/adv/feature/release/detail/000000772000031382.html","URLを開く")</f>
        <v>URLを開く</v>
      </c>
      <c r="J567" s="10" t="s">
        <v>23</v>
      </c>
      <c r="K567" s="10" t="s">
        <v>23</v>
      </c>
    </row>
    <row r="568" spans="1:11">
      <c r="A568" s="7" t="s">
        <v>684</v>
      </c>
      <c r="B568" s="7" t="s">
        <v>345</v>
      </c>
      <c r="C568" s="13" t="s">
        <v>190</v>
      </c>
      <c r="D568" s="13" t="s">
        <v>129</v>
      </c>
      <c r="E568" s="5" t="s">
        <v>309</v>
      </c>
      <c r="F568" s="5" t="s">
        <v>65</v>
      </c>
      <c r="G568" s="5" t="s">
        <v>21</v>
      </c>
      <c r="H568" s="5" t="s">
        <v>1163</v>
      </c>
      <c r="I568" s="6" t="str">
        <f>HYPERLINK("https://dime.jp/company_news/detail/?pr=773051","URLを開く")</f>
        <v>URLを開く</v>
      </c>
      <c r="J568" s="10" t="s">
        <v>23</v>
      </c>
      <c r="K568" s="10" t="s">
        <v>23</v>
      </c>
    </row>
    <row r="569" spans="1:11">
      <c r="A569" s="7" t="s">
        <v>684</v>
      </c>
      <c r="B569" s="7" t="s">
        <v>345</v>
      </c>
      <c r="C569" s="13" t="s">
        <v>193</v>
      </c>
      <c r="D569" s="13" t="s">
        <v>100</v>
      </c>
      <c r="E569" s="5" t="s">
        <v>309</v>
      </c>
      <c r="F569" s="5" t="s">
        <v>65</v>
      </c>
      <c r="G569" s="5" t="s">
        <v>21</v>
      </c>
      <c r="H569" s="5" t="s">
        <v>1164</v>
      </c>
      <c r="I569" s="6" t="str">
        <f>HYPERLINK("https://business.nifty.com/cs/catalog/business_release/catalog_prt000000772000031382_1.htm","URLを開く")</f>
        <v>URLを開く</v>
      </c>
      <c r="J569" s="10" t="s">
        <v>23</v>
      </c>
      <c r="K569" s="10" t="s">
        <v>23</v>
      </c>
    </row>
    <row r="570" spans="1:11">
      <c r="A570" s="7" t="s">
        <v>684</v>
      </c>
      <c r="B570" s="7" t="s">
        <v>345</v>
      </c>
      <c r="C570" s="13" t="s">
        <v>195</v>
      </c>
      <c r="D570" s="13" t="s">
        <v>196</v>
      </c>
      <c r="E570" s="5" t="s">
        <v>309</v>
      </c>
      <c r="F570" s="5" t="s">
        <v>65</v>
      </c>
      <c r="G570" s="5" t="s">
        <v>21</v>
      </c>
      <c r="H570" s="5" t="s">
        <v>1165</v>
      </c>
      <c r="I570" s="6" t="str">
        <f>HYPERLINK("https://news.allabout.co.jp/articles/p/000000772.000031382/","URLを開く")</f>
        <v>URLを開く</v>
      </c>
      <c r="J570" s="10" t="s">
        <v>23</v>
      </c>
      <c r="K570" s="10" t="s">
        <v>23</v>
      </c>
    </row>
    <row r="571" spans="1:11">
      <c r="A571" s="7" t="s">
        <v>684</v>
      </c>
      <c r="B571" s="7" t="s">
        <v>345</v>
      </c>
      <c r="C571" s="13" t="s">
        <v>198</v>
      </c>
      <c r="D571" s="13" t="s">
        <v>199</v>
      </c>
      <c r="E571" s="5" t="s">
        <v>309</v>
      </c>
      <c r="F571" s="5" t="s">
        <v>65</v>
      </c>
      <c r="G571" s="5" t="s">
        <v>21</v>
      </c>
      <c r="H571" s="5" t="s">
        <v>1166</v>
      </c>
      <c r="I571" s="6" t="str">
        <f>HYPERLINK("https://www.kk-bestsellers.com/articles/-/press_release/833398/","URLを開く")</f>
        <v>URLを開く</v>
      </c>
      <c r="J571" s="10" t="s">
        <v>23</v>
      </c>
      <c r="K571" s="10" t="s">
        <v>23</v>
      </c>
    </row>
    <row r="572" spans="1:11">
      <c r="A572" s="7" t="s">
        <v>684</v>
      </c>
      <c r="B572" s="7" t="s">
        <v>345</v>
      </c>
      <c r="C572" s="13" t="s">
        <v>201</v>
      </c>
      <c r="D572" s="13" t="s">
        <v>202</v>
      </c>
      <c r="E572" s="5" t="s">
        <v>309</v>
      </c>
      <c r="F572" s="5" t="s">
        <v>65</v>
      </c>
      <c r="G572" s="5" t="s">
        <v>21</v>
      </c>
      <c r="H572" s="5" t="s">
        <v>1167</v>
      </c>
      <c r="I572" s="6" t="str">
        <f>HYPERLINK("https://news.biglobe.ne.jp/economy/0212/prt_210212_4241806345.html","URLを開く")</f>
        <v>URLを開く</v>
      </c>
      <c r="J572" s="10" t="s">
        <v>23</v>
      </c>
      <c r="K572" s="10" t="s">
        <v>23</v>
      </c>
    </row>
    <row r="573" spans="1:11">
      <c r="A573" s="7" t="s">
        <v>684</v>
      </c>
      <c r="B573" s="7" t="s">
        <v>345</v>
      </c>
      <c r="C573" s="13" t="s">
        <v>204</v>
      </c>
      <c r="D573" s="13" t="s">
        <v>205</v>
      </c>
      <c r="E573" s="5" t="s">
        <v>309</v>
      </c>
      <c r="F573" s="5" t="s">
        <v>65</v>
      </c>
      <c r="G573" s="5" t="s">
        <v>21</v>
      </c>
      <c r="H573" s="5" t="s">
        <v>1168</v>
      </c>
      <c r="I573" s="6" t="str">
        <f>HYPERLINK("https://b2b-ch.infomart.co.jp/news/detail.page?IMNEWS4=2405040","URLを開く")</f>
        <v>URLを開く</v>
      </c>
      <c r="J573" s="10" t="s">
        <v>23</v>
      </c>
      <c r="K573" s="10" t="s">
        <v>23</v>
      </c>
    </row>
    <row r="574" spans="1:11">
      <c r="A574" s="7" t="s">
        <v>684</v>
      </c>
      <c r="B574" s="7" t="s">
        <v>345</v>
      </c>
      <c r="C574" s="13" t="s">
        <v>1169</v>
      </c>
      <c r="D574" s="13" t="s">
        <v>259</v>
      </c>
      <c r="E574" s="5" t="s">
        <v>309</v>
      </c>
      <c r="F574" s="5" t="s">
        <v>65</v>
      </c>
      <c r="G574" s="5" t="s">
        <v>21</v>
      </c>
      <c r="H574" s="5" t="s">
        <v>1170</v>
      </c>
      <c r="I574" s="6" t="str">
        <f>HYPERLINK("https://crea.bunshun.jp/ud/pressrelease/6026637c7765612af5000000","URLを開く")</f>
        <v>URLを開く</v>
      </c>
      <c r="J574" s="10" t="s">
        <v>23</v>
      </c>
      <c r="K574" s="10" t="s">
        <v>23</v>
      </c>
    </row>
    <row r="575" spans="1:11">
      <c r="A575" s="7" t="s">
        <v>684</v>
      </c>
      <c r="B575" s="7" t="s">
        <v>345</v>
      </c>
      <c r="C575" s="13" t="s">
        <v>207</v>
      </c>
      <c r="D575" s="13" t="s">
        <v>208</v>
      </c>
      <c r="E575" s="5" t="s">
        <v>309</v>
      </c>
      <c r="F575" s="5" t="s">
        <v>65</v>
      </c>
      <c r="G575" s="5" t="s">
        <v>21</v>
      </c>
      <c r="H575" s="5" t="s">
        <v>1171</v>
      </c>
      <c r="I575" s="6" t="str">
        <f>HYPERLINK("https://news.cube-soft.jp/release/730026","URLを開く")</f>
        <v>URLを開く</v>
      </c>
      <c r="J575" s="10" t="s">
        <v>23</v>
      </c>
      <c r="K575" s="10" t="s">
        <v>23</v>
      </c>
    </row>
    <row r="576" spans="1:11">
      <c r="A576" s="7" t="s">
        <v>684</v>
      </c>
      <c r="B576" s="7" t="s">
        <v>345</v>
      </c>
      <c r="C576" s="13" t="s">
        <v>103</v>
      </c>
      <c r="D576" s="13" t="s">
        <v>104</v>
      </c>
      <c r="E576" s="5" t="s">
        <v>309</v>
      </c>
      <c r="F576" s="5" t="s">
        <v>65</v>
      </c>
      <c r="G576" s="5" t="s">
        <v>33</v>
      </c>
      <c r="H576" s="5" t="s">
        <v>1172</v>
      </c>
      <c r="I576" s="6" t="str">
        <f>HYPERLINK("https://www.excite.co.jp/news/article/Prtimes_2021-02-12-31382-772/","URLを開く")</f>
        <v>URLを開く</v>
      </c>
      <c r="J576" s="10" t="s">
        <v>23</v>
      </c>
      <c r="K576" s="10" t="s">
        <v>23</v>
      </c>
    </row>
    <row r="577" spans="1:11">
      <c r="A577" s="7" t="s">
        <v>684</v>
      </c>
      <c r="B577" s="7" t="s">
        <v>345</v>
      </c>
      <c r="C577" s="13" t="s">
        <v>109</v>
      </c>
      <c r="D577" s="13" t="s">
        <v>110</v>
      </c>
      <c r="E577" s="5" t="s">
        <v>309</v>
      </c>
      <c r="F577" s="5" t="s">
        <v>65</v>
      </c>
      <c r="G577" s="5" t="s">
        <v>21</v>
      </c>
      <c r="H577" s="5" t="s">
        <v>1173</v>
      </c>
      <c r="I577" s="6" t="str">
        <f>HYPERLINK("https://news.infoseek.co.jp/article/prtimes_000000772_000031382/","URLを開く")</f>
        <v>URLを開く</v>
      </c>
      <c r="J577" s="10" t="s">
        <v>23</v>
      </c>
      <c r="K577" s="10" t="s">
        <v>23</v>
      </c>
    </row>
    <row r="578" spans="1:11">
      <c r="A578" s="7" t="s">
        <v>684</v>
      </c>
      <c r="B578" s="7" t="s">
        <v>345</v>
      </c>
      <c r="C578" s="13" t="s">
        <v>212</v>
      </c>
      <c r="D578" s="13" t="s">
        <v>213</v>
      </c>
      <c r="E578" s="5" t="s">
        <v>309</v>
      </c>
      <c r="F578" s="5" t="s">
        <v>65</v>
      </c>
      <c r="G578" s="5" t="s">
        <v>21</v>
      </c>
      <c r="H578" s="5" t="s">
        <v>1174</v>
      </c>
      <c r="I578" s="6" t="str">
        <f>HYPERLINK("https://jbpress.ismedia.jp/ud/pressrelease/6026638c776561807c030000","URLを開く")</f>
        <v>URLを開く</v>
      </c>
      <c r="J578" s="10" t="s">
        <v>23</v>
      </c>
      <c r="K578" s="10" t="s">
        <v>23</v>
      </c>
    </row>
    <row r="579" spans="1:11">
      <c r="A579" s="7" t="s">
        <v>684</v>
      </c>
      <c r="B579" s="7" t="s">
        <v>345</v>
      </c>
      <c r="C579" s="13" t="s">
        <v>217</v>
      </c>
      <c r="D579" s="13" t="s">
        <v>218</v>
      </c>
      <c r="E579" s="5" t="s">
        <v>309</v>
      </c>
      <c r="F579" s="5" t="s">
        <v>65</v>
      </c>
      <c r="G579" s="5" t="s">
        <v>21</v>
      </c>
      <c r="H579" s="5" t="s">
        <v>1175</v>
      </c>
      <c r="I579" s="6" t="str">
        <f>HYPERLINK("https://www.newscafe.ne.jp/release/prtimes2/20210212/641802.html","URLを開く")</f>
        <v>URLを開く</v>
      </c>
      <c r="J579" s="10" t="s">
        <v>23</v>
      </c>
      <c r="K579" s="10" t="s">
        <v>23</v>
      </c>
    </row>
    <row r="580" spans="1:11">
      <c r="A580" s="7" t="s">
        <v>684</v>
      </c>
      <c r="B580" s="7" t="s">
        <v>345</v>
      </c>
      <c r="C580" s="13" t="s">
        <v>620</v>
      </c>
      <c r="D580" s="13" t="s">
        <v>621</v>
      </c>
      <c r="E580" s="5" t="s">
        <v>309</v>
      </c>
      <c r="F580" s="5" t="s">
        <v>65</v>
      </c>
      <c r="G580" s="5" t="s">
        <v>21</v>
      </c>
      <c r="H580" s="5" t="s">
        <v>1176</v>
      </c>
      <c r="I580" s="6" t="str">
        <f>HYPERLINK("https://prtimes.jp/main/html/rd/p/000000772.000031382.html","URLを開く")</f>
        <v>URLを開く</v>
      </c>
      <c r="J580" s="10" t="s">
        <v>23</v>
      </c>
      <c r="K580" s="10" t="s">
        <v>23</v>
      </c>
    </row>
    <row r="581" spans="1:11">
      <c r="A581" s="7" t="s">
        <v>684</v>
      </c>
      <c r="B581" s="7" t="s">
        <v>345</v>
      </c>
      <c r="C581" s="13" t="s">
        <v>223</v>
      </c>
      <c r="D581" s="13" t="s">
        <v>224</v>
      </c>
      <c r="E581" s="5" t="s">
        <v>309</v>
      </c>
      <c r="F581" s="5" t="s">
        <v>65</v>
      </c>
      <c r="G581" s="5" t="s">
        <v>21</v>
      </c>
      <c r="H581" s="5" t="s">
        <v>1177</v>
      </c>
      <c r="I581" s="6" t="str">
        <f>HYPERLINK("https://straightpress.jp/company_news/detail?pr=000000772.000031382","URLを開く")</f>
        <v>URLを開く</v>
      </c>
      <c r="J581" s="10" t="s">
        <v>23</v>
      </c>
      <c r="K581" s="10" t="s">
        <v>23</v>
      </c>
    </row>
    <row r="582" spans="1:11">
      <c r="A582" s="7" t="s">
        <v>684</v>
      </c>
      <c r="B582" s="7" t="s">
        <v>345</v>
      </c>
      <c r="C582" s="13" t="s">
        <v>1178</v>
      </c>
      <c r="D582" s="13" t="s">
        <v>118</v>
      </c>
      <c r="E582" s="5" t="s">
        <v>309</v>
      </c>
      <c r="F582" s="5" t="s">
        <v>65</v>
      </c>
      <c r="G582" s="5" t="s">
        <v>21</v>
      </c>
      <c r="H582" s="5" t="s">
        <v>1179</v>
      </c>
      <c r="I582" s="6" t="str">
        <f>HYPERLINK("http://release.traicy.com/posts/20210212277468/","URLを開く")</f>
        <v>URLを開く</v>
      </c>
      <c r="J582" s="10" t="s">
        <v>23</v>
      </c>
      <c r="K582" s="10" t="s">
        <v>23</v>
      </c>
    </row>
    <row r="583" spans="1:11">
      <c r="A583" s="7" t="s">
        <v>684</v>
      </c>
      <c r="B583" s="7" t="s">
        <v>345</v>
      </c>
      <c r="C583" s="13" t="s">
        <v>226</v>
      </c>
      <c r="D583" s="13" t="s">
        <v>227</v>
      </c>
      <c r="E583" s="5" t="s">
        <v>309</v>
      </c>
      <c r="F583" s="5" t="s">
        <v>65</v>
      </c>
      <c r="G583" s="5" t="s">
        <v>27</v>
      </c>
      <c r="H583" s="5" t="s">
        <v>1180</v>
      </c>
      <c r="I583" s="6" t="str">
        <f>HYPERLINK("http://www.iza.ne.jp/kiji/pressrelease/news/210212/prl21021220100879-n1.html","URLを開く")</f>
        <v>URLを開く</v>
      </c>
      <c r="J583" s="10" t="s">
        <v>23</v>
      </c>
      <c r="K583" s="10" t="s">
        <v>23</v>
      </c>
    </row>
    <row r="584" spans="1:11">
      <c r="A584" s="7" t="s">
        <v>684</v>
      </c>
      <c r="B584" s="7" t="s">
        <v>345</v>
      </c>
      <c r="C584" s="13" t="s">
        <v>229</v>
      </c>
      <c r="D584" s="13" t="s">
        <v>230</v>
      </c>
      <c r="E584" s="5" t="s">
        <v>309</v>
      </c>
      <c r="F584" s="5" t="s">
        <v>65</v>
      </c>
      <c r="G584" s="5" t="s">
        <v>27</v>
      </c>
      <c r="H584" s="5" t="s">
        <v>1181</v>
      </c>
      <c r="I584" s="6" t="str">
        <f>HYPERLINK("https://ure.pia.co.jp/articles/-/953568","URLを開く")</f>
        <v>URLを開く</v>
      </c>
      <c r="J584" s="10" t="s">
        <v>23</v>
      </c>
      <c r="K584" s="10" t="s">
        <v>23</v>
      </c>
    </row>
    <row r="585" spans="1:11">
      <c r="A585" s="7" t="s">
        <v>684</v>
      </c>
      <c r="B585" s="7" t="s">
        <v>345</v>
      </c>
      <c r="C585" s="13" t="s">
        <v>229</v>
      </c>
      <c r="D585" s="13" t="s">
        <v>230</v>
      </c>
      <c r="E585" s="5" t="s">
        <v>309</v>
      </c>
      <c r="F585" s="5" t="s">
        <v>65</v>
      </c>
      <c r="G585" s="5" t="s">
        <v>27</v>
      </c>
      <c r="H585" s="5" t="s">
        <v>1182</v>
      </c>
      <c r="I585" s="6" t="str">
        <f>HYPERLINK("https://ure.pia.co.jp/articles/-/953595","URLを開く")</f>
        <v>URLを開く</v>
      </c>
      <c r="J585" s="10" t="s">
        <v>23</v>
      </c>
      <c r="K585" s="10" t="s">
        <v>23</v>
      </c>
    </row>
    <row r="586" spans="1:11">
      <c r="A586" s="7" t="s">
        <v>684</v>
      </c>
      <c r="B586" s="7" t="s">
        <v>345</v>
      </c>
      <c r="C586" s="13" t="s">
        <v>235</v>
      </c>
      <c r="D586" s="13" t="s">
        <v>236</v>
      </c>
      <c r="E586" s="5" t="s">
        <v>309</v>
      </c>
      <c r="F586" s="5" t="s">
        <v>65</v>
      </c>
      <c r="G586" s="5" t="s">
        <v>21</v>
      </c>
      <c r="H586" s="5" t="s">
        <v>1183</v>
      </c>
      <c r="I586" s="6" t="str">
        <f>HYPERLINK("https://news.toremaga.com/release/others/1780187.html","URLを開く")</f>
        <v>URLを開く</v>
      </c>
      <c r="J586" s="10" t="s">
        <v>23</v>
      </c>
      <c r="K586" s="10" t="s">
        <v>23</v>
      </c>
    </row>
    <row r="587" spans="1:11">
      <c r="A587" s="7" t="s">
        <v>684</v>
      </c>
      <c r="B587" s="7" t="s">
        <v>345</v>
      </c>
      <c r="C587" s="13" t="s">
        <v>238</v>
      </c>
      <c r="D587" s="13" t="s">
        <v>239</v>
      </c>
      <c r="E587" s="5" t="s">
        <v>309</v>
      </c>
      <c r="F587" s="5" t="s">
        <v>65</v>
      </c>
      <c r="G587" s="5" t="s">
        <v>33</v>
      </c>
      <c r="H587" s="5" t="s">
        <v>1184</v>
      </c>
      <c r="I587" s="6" t="str">
        <f>HYPERLINK("https://news.nicovideo.jp/watch/nw8930530","URLを開く")</f>
        <v>URLを開く</v>
      </c>
      <c r="J587" s="10" t="s">
        <v>23</v>
      </c>
      <c r="K587" s="10" t="s">
        <v>23</v>
      </c>
    </row>
    <row r="588" spans="1:11">
      <c r="A588" s="7" t="s">
        <v>684</v>
      </c>
      <c r="B588" s="7" t="s">
        <v>345</v>
      </c>
      <c r="C588" s="13" t="s">
        <v>241</v>
      </c>
      <c r="D588" s="13" t="s">
        <v>242</v>
      </c>
      <c r="E588" s="5" t="s">
        <v>309</v>
      </c>
      <c r="F588" s="5" t="s">
        <v>65</v>
      </c>
      <c r="G588" s="5" t="s">
        <v>21</v>
      </c>
      <c r="H588" s="5" t="s">
        <v>1185</v>
      </c>
      <c r="I588" s="6" t="str">
        <f>HYPERLINK("https://www.jiji.com/jc/article?g=prt&amp;k=000000772.000031382","URLを開く")</f>
        <v>URLを開く</v>
      </c>
      <c r="J588" s="10" t="s">
        <v>23</v>
      </c>
      <c r="K588" s="10" t="s">
        <v>23</v>
      </c>
    </row>
    <row r="589" spans="1:11">
      <c r="A589" s="7" t="s">
        <v>684</v>
      </c>
      <c r="B589" s="7" t="s">
        <v>345</v>
      </c>
      <c r="C589" s="13" t="s">
        <v>1186</v>
      </c>
      <c r="D589" s="13" t="s">
        <v>1187</v>
      </c>
      <c r="E589" s="5" t="s">
        <v>309</v>
      </c>
      <c r="F589" s="5" t="s">
        <v>65</v>
      </c>
      <c r="G589" s="5" t="s">
        <v>21</v>
      </c>
      <c r="H589" s="5" t="s">
        <v>1188</v>
      </c>
      <c r="I589" s="6" t="str">
        <f>HYPERLINK("https://kurashinista.jp/pressrelease/detail/229719","URLを開く")</f>
        <v>URLを開く</v>
      </c>
      <c r="J589" s="10" t="s">
        <v>23</v>
      </c>
      <c r="K589" s="10" t="s">
        <v>23</v>
      </c>
    </row>
    <row r="590" spans="1:11">
      <c r="A590" s="7" t="s">
        <v>684</v>
      </c>
      <c r="B590" s="7" t="s">
        <v>345</v>
      </c>
      <c r="C590" s="13" t="s">
        <v>244</v>
      </c>
      <c r="D590" s="13" t="s">
        <v>160</v>
      </c>
      <c r="E590" s="5" t="s">
        <v>309</v>
      </c>
      <c r="F590" s="5" t="s">
        <v>65</v>
      </c>
      <c r="G590" s="5" t="s">
        <v>21</v>
      </c>
      <c r="H590" s="5" t="s">
        <v>1189</v>
      </c>
      <c r="I590" s="6" t="str">
        <f>HYPERLINK("https://www.asahi.com/and_M/pressrelease/pre_23477317/","URLを開く")</f>
        <v>URLを開く</v>
      </c>
      <c r="J590" s="10" t="s">
        <v>23</v>
      </c>
      <c r="K590" s="10" t="s">
        <v>23</v>
      </c>
    </row>
    <row r="591" spans="1:11">
      <c r="A591" s="7" t="s">
        <v>684</v>
      </c>
      <c r="B591" s="7" t="s">
        <v>345</v>
      </c>
      <c r="C591" s="13" t="s">
        <v>246</v>
      </c>
      <c r="D591" s="13" t="s">
        <v>247</v>
      </c>
      <c r="E591" s="5" t="s">
        <v>309</v>
      </c>
      <c r="F591" s="5" t="s">
        <v>65</v>
      </c>
      <c r="G591" s="5" t="s">
        <v>21</v>
      </c>
      <c r="H591" s="5" t="s">
        <v>1190</v>
      </c>
      <c r="I591" s="6" t="str">
        <f>HYPERLINK("https://toyokeizai.net/ud/pressrelease/602667a37765616c6d030000","URLを開く")</f>
        <v>URLを開く</v>
      </c>
      <c r="J591" s="10" t="s">
        <v>23</v>
      </c>
      <c r="K591" s="10" t="s">
        <v>23</v>
      </c>
    </row>
    <row r="592" spans="1:11">
      <c r="A592" s="7" t="s">
        <v>684</v>
      </c>
      <c r="B592" s="7" t="s">
        <v>345</v>
      </c>
      <c r="C592" s="13" t="s">
        <v>178</v>
      </c>
      <c r="D592" s="13" t="s">
        <v>179</v>
      </c>
      <c r="E592" s="5" t="s">
        <v>309</v>
      </c>
      <c r="F592" s="5" t="s">
        <v>65</v>
      </c>
      <c r="G592" s="5" t="s">
        <v>21</v>
      </c>
      <c r="H592" s="5" t="s">
        <v>1191</v>
      </c>
      <c r="I592" s="6" t="str">
        <f>HYPERLINK("https://gendai.ismedia.jp/ud/pressrelease/602667ce7765619318050000","URLを開く")</f>
        <v>URLを開く</v>
      </c>
      <c r="J592" s="10" t="s">
        <v>23</v>
      </c>
      <c r="K592" s="10" t="s">
        <v>23</v>
      </c>
    </row>
    <row r="593" spans="1:11">
      <c r="A593" s="7" t="s">
        <v>684</v>
      </c>
      <c r="B593" s="7" t="s">
        <v>345</v>
      </c>
      <c r="C593" s="13" t="s">
        <v>255</v>
      </c>
      <c r="D593" s="13" t="s">
        <v>256</v>
      </c>
      <c r="E593" s="5" t="s">
        <v>309</v>
      </c>
      <c r="F593" s="5" t="s">
        <v>65</v>
      </c>
      <c r="G593" s="5" t="s">
        <v>21</v>
      </c>
      <c r="H593" s="5" t="s">
        <v>1192</v>
      </c>
      <c r="I593" s="6" t="str">
        <f>HYPERLINK("https://www.zaikei.co.jp/releases/1216994/","URLを開く")</f>
        <v>URLを開く</v>
      </c>
      <c r="J593" s="10" t="s">
        <v>23</v>
      </c>
      <c r="K593" s="10" t="s">
        <v>23</v>
      </c>
    </row>
    <row r="594" spans="1:11">
      <c r="A594" s="7" t="s">
        <v>684</v>
      </c>
      <c r="B594" s="7" t="s">
        <v>345</v>
      </c>
      <c r="C594" s="13" t="s">
        <v>50</v>
      </c>
      <c r="D594" s="13" t="s">
        <v>51</v>
      </c>
      <c r="E594" s="5" t="s">
        <v>1193</v>
      </c>
      <c r="F594" s="5" t="s">
        <v>20</v>
      </c>
      <c r="G594" s="5" t="s">
        <v>33</v>
      </c>
      <c r="H594" s="5" t="s">
        <v>1194</v>
      </c>
      <c r="I594" s="6" t="str">
        <f>HYPERLINK("https://news.yahoo.co.jp/articles/cbf5ed528e7cb70e74f89ad642a42b5eb7626ef3","URLを開く")</f>
        <v>URLを開く</v>
      </c>
      <c r="J594" s="10" t="s">
        <v>23</v>
      </c>
      <c r="K594" s="10" t="s">
        <v>23</v>
      </c>
    </row>
    <row r="595" spans="1:11">
      <c r="A595" s="7" t="s">
        <v>684</v>
      </c>
      <c r="B595" s="7" t="s">
        <v>345</v>
      </c>
      <c r="C595" s="13" t="s">
        <v>103</v>
      </c>
      <c r="D595" s="13" t="s">
        <v>104</v>
      </c>
      <c r="E595" s="5" t="s">
        <v>1195</v>
      </c>
      <c r="F595" s="5" t="s">
        <v>20</v>
      </c>
      <c r="G595" s="5" t="s">
        <v>33</v>
      </c>
      <c r="H595" s="5" t="s">
        <v>1196</v>
      </c>
      <c r="I595" s="6" t="str">
        <f>HYPERLINK("https://www.excite.co.jp/news/article/Fashionsnap_article_2021-02-12_tokyodesignstudionb-snowpeak3/","URLを開く")</f>
        <v>URLを開く</v>
      </c>
      <c r="J595" s="10" t="s">
        <v>23</v>
      </c>
      <c r="K595" s="10" t="s">
        <v>23</v>
      </c>
    </row>
    <row r="596" spans="1:11">
      <c r="A596" s="7" t="s">
        <v>684</v>
      </c>
      <c r="B596" s="7" t="s">
        <v>345</v>
      </c>
      <c r="C596" s="13" t="s">
        <v>162</v>
      </c>
      <c r="D596" s="13" t="s">
        <v>163</v>
      </c>
      <c r="E596" s="5" t="s">
        <v>1197</v>
      </c>
      <c r="F596" s="5" t="s">
        <v>93</v>
      </c>
      <c r="G596" s="5" t="s">
        <v>33</v>
      </c>
      <c r="H596" s="5" t="s">
        <v>1198</v>
      </c>
      <c r="I596" s="6" t="str">
        <f>HYPERLINK("https://gunosy.com/articles/aiQZ3","URLを開く")</f>
        <v>URLを開く</v>
      </c>
      <c r="J596" s="10" t="s">
        <v>23</v>
      </c>
      <c r="K596" s="10" t="s">
        <v>23</v>
      </c>
    </row>
    <row r="597" spans="1:11">
      <c r="A597" s="7" t="s">
        <v>684</v>
      </c>
      <c r="B597" s="7" t="s">
        <v>345</v>
      </c>
      <c r="C597" s="13" t="s">
        <v>1199</v>
      </c>
      <c r="D597" s="13" t="s">
        <v>1200</v>
      </c>
      <c r="E597" s="5" t="s">
        <v>1201</v>
      </c>
      <c r="F597" s="5" t="s">
        <v>93</v>
      </c>
      <c r="G597" s="5" t="s">
        <v>27</v>
      </c>
      <c r="H597" s="5" t="s">
        <v>1202</v>
      </c>
      <c r="I597" s="6" t="str">
        <f>HYPERLINK("https://www.daily.co.jp/ring/2021/02/12/0014073439.shtml","URLを開く")</f>
        <v>URLを開く</v>
      </c>
      <c r="J597" s="10" t="s">
        <v>23</v>
      </c>
      <c r="K597" s="10" t="s">
        <v>23</v>
      </c>
    </row>
    <row r="598" spans="1:11">
      <c r="A598" s="7" t="s">
        <v>684</v>
      </c>
      <c r="B598" s="7" t="s">
        <v>345</v>
      </c>
      <c r="C598" s="13" t="s">
        <v>282</v>
      </c>
      <c r="D598" s="13" t="s">
        <v>283</v>
      </c>
      <c r="E598" s="5" t="s">
        <v>1203</v>
      </c>
      <c r="F598" s="5" t="s">
        <v>93</v>
      </c>
      <c r="G598" s="5" t="s">
        <v>33</v>
      </c>
      <c r="H598" s="5" t="s">
        <v>1204</v>
      </c>
      <c r="I598" s="6" t="str">
        <f>HYPERLINK("https://sportsbull.jp/p/948159/","URLを開く")</f>
        <v>URLを開く</v>
      </c>
      <c r="J598" s="10" t="s">
        <v>23</v>
      </c>
      <c r="K598" s="10" t="s">
        <v>23</v>
      </c>
    </row>
    <row r="599" spans="1:11">
      <c r="A599" s="7" t="s">
        <v>684</v>
      </c>
      <c r="B599" s="7" t="s">
        <v>345</v>
      </c>
      <c r="C599" s="13" t="s">
        <v>314</v>
      </c>
      <c r="D599" s="13" t="s">
        <v>315</v>
      </c>
      <c r="E599" s="5" t="s">
        <v>1205</v>
      </c>
      <c r="F599" s="5" t="s">
        <v>40</v>
      </c>
      <c r="G599" s="5" t="s">
        <v>21</v>
      </c>
      <c r="H599" s="5" t="s">
        <v>1206</v>
      </c>
      <c r="I599" s="6" t="str">
        <f>HYPERLINK("https://news.fresheye.com/article/fenwnews2/1000003/20210212120000_pr_pr000000058-000059271/a/index.html","URLを開く")</f>
        <v>URLを開く</v>
      </c>
      <c r="J599" s="10" t="s">
        <v>23</v>
      </c>
      <c r="K599" s="10" t="s">
        <v>23</v>
      </c>
    </row>
    <row r="600" spans="1:11">
      <c r="A600" s="7" t="s">
        <v>684</v>
      </c>
      <c r="B600" s="7" t="s">
        <v>345</v>
      </c>
      <c r="C600" s="13" t="s">
        <v>314</v>
      </c>
      <c r="D600" s="13" t="s">
        <v>315</v>
      </c>
      <c r="E600" s="5" t="s">
        <v>318</v>
      </c>
      <c r="F600" s="5" t="s">
        <v>65</v>
      </c>
      <c r="G600" s="5" t="s">
        <v>21</v>
      </c>
      <c r="H600" s="5" t="s">
        <v>1207</v>
      </c>
      <c r="I600" s="6" t="str">
        <f>HYPERLINK("https://news.fresheye.com/article/fenwnews2/1000003/20210212181153_pr_pr000000772-000031382/a/index.html","URLを開く")</f>
        <v>URLを開く</v>
      </c>
      <c r="J600" s="10" t="s">
        <v>23</v>
      </c>
      <c r="K600" s="10" t="s">
        <v>23</v>
      </c>
    </row>
    <row r="601" spans="1:11">
      <c r="A601" s="7" t="s">
        <v>684</v>
      </c>
      <c r="B601" s="7" t="s">
        <v>345</v>
      </c>
      <c r="C601" s="13" t="s">
        <v>314</v>
      </c>
      <c r="D601" s="13" t="s">
        <v>315</v>
      </c>
      <c r="E601" s="5" t="s">
        <v>1208</v>
      </c>
      <c r="F601" s="5" t="s">
        <v>65</v>
      </c>
      <c r="G601" s="5" t="s">
        <v>21</v>
      </c>
      <c r="H601" s="5" t="s">
        <v>1209</v>
      </c>
      <c r="I601" s="6" t="str">
        <f>HYPERLINK("https://news.fresheye.com/article/fenwnews2/1000003/20210212130430_pr_pr000000099-000063811/a/index.html","URLを開く")</f>
        <v>URLを開く</v>
      </c>
      <c r="J601" s="10" t="s">
        <v>23</v>
      </c>
      <c r="K601" s="10" t="s">
        <v>23</v>
      </c>
    </row>
    <row r="602" spans="1:11">
      <c r="A602" s="7" t="s">
        <v>684</v>
      </c>
      <c r="B602" s="7" t="s">
        <v>345</v>
      </c>
      <c r="C602" s="13" t="s">
        <v>314</v>
      </c>
      <c r="D602" s="13" t="s">
        <v>315</v>
      </c>
      <c r="E602" s="5" t="s">
        <v>1210</v>
      </c>
      <c r="F602" s="5" t="s">
        <v>58</v>
      </c>
      <c r="G602" s="5" t="s">
        <v>21</v>
      </c>
      <c r="H602" s="5" t="s">
        <v>1211</v>
      </c>
      <c r="I602" s="6" t="str">
        <f>HYPERLINK("https://news.fresheye.com/article/fenwnews2/1000005/20210212090000_dn_pr0000231130/a/index.html","URLを開く")</f>
        <v>URLを開く</v>
      </c>
      <c r="J602" s="10" t="s">
        <v>23</v>
      </c>
      <c r="K602" s="10" t="s">
        <v>23</v>
      </c>
    </row>
    <row r="603" spans="1:11">
      <c r="A603" s="7" t="s">
        <v>684</v>
      </c>
      <c r="B603" s="7" t="s">
        <v>345</v>
      </c>
      <c r="C603" s="13" t="s">
        <v>395</v>
      </c>
      <c r="D603" s="13" t="s">
        <v>396</v>
      </c>
      <c r="E603" s="5" t="s">
        <v>1212</v>
      </c>
      <c r="F603" s="5" t="s">
        <v>65</v>
      </c>
      <c r="G603" s="5" t="s">
        <v>27</v>
      </c>
      <c r="H603" s="5" t="s">
        <v>1213</v>
      </c>
      <c r="I603" s="6" t="str">
        <f>HYPERLINK("https://note.com/prof_nemuro/n/na80513b0063f","URLを開く")</f>
        <v>URLを開く</v>
      </c>
      <c r="J603" s="10" t="s">
        <v>29</v>
      </c>
      <c r="K603" s="10" t="s">
        <v>23</v>
      </c>
    </row>
    <row r="604" spans="1:11">
      <c r="A604" s="7" t="s">
        <v>684</v>
      </c>
      <c r="B604" s="7" t="s">
        <v>345</v>
      </c>
      <c r="C604" s="13" t="s">
        <v>162</v>
      </c>
      <c r="D604" s="13" t="s">
        <v>163</v>
      </c>
      <c r="E604" s="5" t="s">
        <v>1214</v>
      </c>
      <c r="F604" s="5" t="s">
        <v>20</v>
      </c>
      <c r="G604" s="5" t="s">
        <v>33</v>
      </c>
      <c r="H604" s="5" t="s">
        <v>1215</v>
      </c>
      <c r="I604" s="6" t="str">
        <f>HYPERLINK("https://gunosy.com/articles/eFdaI","URLを開く")</f>
        <v>URLを開く</v>
      </c>
      <c r="J604" s="10" t="s">
        <v>23</v>
      </c>
      <c r="K604" s="10" t="s">
        <v>23</v>
      </c>
    </row>
    <row r="605" spans="1:11">
      <c r="A605" s="7" t="s">
        <v>684</v>
      </c>
      <c r="B605" s="7" t="s">
        <v>345</v>
      </c>
      <c r="C605" s="13" t="s">
        <v>1216</v>
      </c>
      <c r="D605" s="13" t="s">
        <v>479</v>
      </c>
      <c r="E605" s="5" t="s">
        <v>1214</v>
      </c>
      <c r="F605" s="5" t="s">
        <v>20</v>
      </c>
      <c r="G605" s="5" t="s">
        <v>27</v>
      </c>
      <c r="H605" s="5" t="s">
        <v>1217</v>
      </c>
      <c r="I605" s="6" t="str">
        <f>HYPERLINK("https://www.cosmopolitan.com/jp/beauty-fashion/fashion/g35145665/bts-casual-styles/","URLを開く")</f>
        <v>URLを開く</v>
      </c>
      <c r="J605" s="10" t="s">
        <v>23</v>
      </c>
      <c r="K605" s="10" t="s">
        <v>23</v>
      </c>
    </row>
    <row r="606" spans="1:11">
      <c r="A606" s="7" t="s">
        <v>684</v>
      </c>
      <c r="B606" s="7" t="s">
        <v>345</v>
      </c>
      <c r="C606" s="13" t="s">
        <v>1218</v>
      </c>
      <c r="D606" s="13" t="s">
        <v>1219</v>
      </c>
      <c r="E606" s="5" t="s">
        <v>1220</v>
      </c>
      <c r="F606" s="5" t="s">
        <v>40</v>
      </c>
      <c r="G606" s="5" t="s">
        <v>27</v>
      </c>
      <c r="H606" s="5" t="s">
        <v>1221</v>
      </c>
      <c r="I606" s="6" t="str">
        <f>HYPERLINK("https://www.traderswebfx.jp/news/news.aspx?newscode=860712","URLを開く")</f>
        <v>URLを開く</v>
      </c>
      <c r="J606" s="10" t="s">
        <v>23</v>
      </c>
      <c r="K606" s="10" t="s">
        <v>23</v>
      </c>
    </row>
    <row r="607" spans="1:11">
      <c r="A607" s="7" t="s">
        <v>684</v>
      </c>
      <c r="B607" s="7" t="s">
        <v>345</v>
      </c>
      <c r="C607" s="13" t="s">
        <v>462</v>
      </c>
      <c r="D607" s="13" t="s">
        <v>462</v>
      </c>
      <c r="E607" s="5" t="s">
        <v>1220</v>
      </c>
      <c r="F607" s="5" t="s">
        <v>40</v>
      </c>
      <c r="G607" s="5" t="s">
        <v>33</v>
      </c>
      <c r="H607" s="5" t="s">
        <v>1222</v>
      </c>
      <c r="I607" s="6" t="str">
        <f>HYPERLINK("https://finance.yahoo.co.jp/news/detail/20210212-00000013-dzh-fx","URLを開く")</f>
        <v>URLを開く</v>
      </c>
      <c r="J607" s="10" t="s">
        <v>23</v>
      </c>
      <c r="K607" s="10" t="s">
        <v>23</v>
      </c>
    </row>
    <row r="608" spans="1:11">
      <c r="A608" s="7" t="s">
        <v>684</v>
      </c>
      <c r="B608" s="7" t="s">
        <v>345</v>
      </c>
      <c r="C608" s="13" t="s">
        <v>462</v>
      </c>
      <c r="D608" s="13" t="s">
        <v>462</v>
      </c>
      <c r="E608" s="5" t="s">
        <v>1223</v>
      </c>
      <c r="F608" s="5" t="s">
        <v>40</v>
      </c>
      <c r="G608" s="5" t="s">
        <v>33</v>
      </c>
      <c r="H608" s="5" t="s">
        <v>1224</v>
      </c>
      <c r="I608" s="6" t="str">
        <f>HYPERLINK("https://finance.yahoo.co.jp/news/detail/20210212-05470977-klugfx-fx","URLを開く")</f>
        <v>URLを開く</v>
      </c>
      <c r="J608" s="10" t="s">
        <v>23</v>
      </c>
      <c r="K608" s="10" t="s">
        <v>23</v>
      </c>
    </row>
    <row r="609" spans="1:11">
      <c r="A609" s="7" t="s">
        <v>684</v>
      </c>
      <c r="B609" s="7" t="s">
        <v>345</v>
      </c>
      <c r="C609" s="13" t="s">
        <v>516</v>
      </c>
      <c r="D609" s="13" t="s">
        <v>517</v>
      </c>
      <c r="E609" s="5" t="s">
        <v>1223</v>
      </c>
      <c r="F609" s="5" t="s">
        <v>40</v>
      </c>
      <c r="G609" s="5" t="s">
        <v>27</v>
      </c>
      <c r="H609" s="5" t="s">
        <v>1225</v>
      </c>
      <c r="I609" s="6" t="str">
        <f>HYPERLINK("https://fx.minkabu.jp/news/175252","URLを開く")</f>
        <v>URLを開く</v>
      </c>
      <c r="J609" s="10" t="s">
        <v>23</v>
      </c>
      <c r="K609" s="10" t="s">
        <v>23</v>
      </c>
    </row>
    <row r="610" spans="1:11">
      <c r="A610" s="7" t="s">
        <v>684</v>
      </c>
      <c r="B610" s="7" t="s">
        <v>345</v>
      </c>
      <c r="C610" s="13" t="s">
        <v>519</v>
      </c>
      <c r="D610" s="13" t="s">
        <v>517</v>
      </c>
      <c r="E610" s="5" t="s">
        <v>1223</v>
      </c>
      <c r="F610" s="5" t="s">
        <v>40</v>
      </c>
      <c r="G610" s="5" t="s">
        <v>33</v>
      </c>
      <c r="H610" s="5" t="s">
        <v>1226</v>
      </c>
      <c r="I610" s="6" t="str">
        <f>HYPERLINK("https://minkabu.jp/news/2884724","URLを開く")</f>
        <v>URLを開く</v>
      </c>
      <c r="J610" s="10" t="s">
        <v>23</v>
      </c>
      <c r="K610" s="10" t="s">
        <v>23</v>
      </c>
    </row>
    <row r="611" spans="1:11">
      <c r="A611" s="7" t="s">
        <v>684</v>
      </c>
      <c r="B611" s="7" t="s">
        <v>345</v>
      </c>
      <c r="C611" s="13" t="s">
        <v>393</v>
      </c>
      <c r="D611" s="13" t="s">
        <v>390</v>
      </c>
      <c r="E611" s="5" t="s">
        <v>1227</v>
      </c>
      <c r="F611" s="5" t="s">
        <v>20</v>
      </c>
      <c r="G611" s="5" t="s">
        <v>33</v>
      </c>
      <c r="H611" s="5" t="s">
        <v>1228</v>
      </c>
      <c r="I611" s="6" t="str">
        <f>HYPERLINK("https://magacol.jp/2021/02/12/423455.html","URLを開く")</f>
        <v>URLを開く</v>
      </c>
      <c r="J611" s="10" t="s">
        <v>23</v>
      </c>
      <c r="K611" s="10" t="s">
        <v>23</v>
      </c>
    </row>
    <row r="612" spans="1:11">
      <c r="A612" s="7" t="s">
        <v>684</v>
      </c>
      <c r="B612" s="7" t="s">
        <v>345</v>
      </c>
      <c r="C612" s="13" t="s">
        <v>165</v>
      </c>
      <c r="D612" s="13" t="s">
        <v>166</v>
      </c>
      <c r="E612" s="5" t="s">
        <v>1227</v>
      </c>
      <c r="F612" s="5" t="s">
        <v>20</v>
      </c>
      <c r="G612" s="5" t="s">
        <v>33</v>
      </c>
      <c r="H612" s="5" t="s">
        <v>1229</v>
      </c>
      <c r="I612" s="6" t="str">
        <f>HYPERLINK("https://trilltrill.jp/articles/1790901","URLを開く")</f>
        <v>URLを開く</v>
      </c>
      <c r="J612" s="10" t="s">
        <v>23</v>
      </c>
      <c r="K612" s="10" t="s">
        <v>23</v>
      </c>
    </row>
    <row r="613" spans="1:11">
      <c r="A613" s="7" t="s">
        <v>684</v>
      </c>
      <c r="B613" s="7" t="s">
        <v>345</v>
      </c>
      <c r="C613" s="13" t="s">
        <v>1230</v>
      </c>
      <c r="D613" s="13" t="s">
        <v>390</v>
      </c>
      <c r="E613" s="5" t="s">
        <v>1227</v>
      </c>
      <c r="F613" s="5" t="s">
        <v>20</v>
      </c>
      <c r="G613" s="5" t="s">
        <v>27</v>
      </c>
      <c r="H613" s="5" t="s">
        <v>1231</v>
      </c>
      <c r="I613" s="6" t="str">
        <f>HYPERLINK("https://veryweb.jp/fashion/161390/","URLを開く")</f>
        <v>URLを開く</v>
      </c>
      <c r="J613" s="10" t="s">
        <v>23</v>
      </c>
      <c r="K613" s="10" t="s">
        <v>23</v>
      </c>
    </row>
    <row r="614" spans="1:11">
      <c r="A614" s="7" t="s">
        <v>684</v>
      </c>
      <c r="B614" s="7" t="s">
        <v>345</v>
      </c>
      <c r="C614" s="13" t="s">
        <v>1232</v>
      </c>
      <c r="D614" s="13" t="s">
        <v>1074</v>
      </c>
      <c r="E614" s="5" t="s">
        <v>1233</v>
      </c>
      <c r="F614" s="5" t="s">
        <v>20</v>
      </c>
      <c r="G614" s="5" t="s">
        <v>27</v>
      </c>
      <c r="H614" s="5" t="s">
        <v>1234</v>
      </c>
      <c r="I614" s="6" t="str">
        <f>HYPERLINK("https://fashionbox.tkj.jp/archives/1617255","URLを開く")</f>
        <v>URLを開く</v>
      </c>
      <c r="J614" s="10" t="s">
        <v>23</v>
      </c>
      <c r="K614" s="10" t="s">
        <v>23</v>
      </c>
    </row>
    <row r="615" spans="1:11">
      <c r="A615" s="7" t="s">
        <v>684</v>
      </c>
      <c r="B615" s="7" t="s">
        <v>345</v>
      </c>
      <c r="C615" s="13" t="s">
        <v>279</v>
      </c>
      <c r="D615" s="13" t="s">
        <v>43</v>
      </c>
      <c r="E615" s="5" t="s">
        <v>1233</v>
      </c>
      <c r="F615" s="5" t="s">
        <v>20</v>
      </c>
      <c r="G615" s="5" t="s">
        <v>33</v>
      </c>
      <c r="H615" s="5" t="s">
        <v>1235</v>
      </c>
      <c r="I615" s="6" t="str">
        <f>HYPERLINK("https://news.livedoor.com/article/detail/19684629/","URLを開く")</f>
        <v>URLを開く</v>
      </c>
      <c r="J615" s="10" t="s">
        <v>23</v>
      </c>
      <c r="K615" s="10" t="s">
        <v>23</v>
      </c>
    </row>
    <row r="616" spans="1:11">
      <c r="A616" s="7" t="s">
        <v>684</v>
      </c>
      <c r="B616" s="7" t="s">
        <v>345</v>
      </c>
      <c r="C616" s="13" t="s">
        <v>42</v>
      </c>
      <c r="D616" s="13" t="s">
        <v>43</v>
      </c>
      <c r="E616" s="5" t="s">
        <v>1236</v>
      </c>
      <c r="F616" s="5" t="s">
        <v>65</v>
      </c>
      <c r="G616" s="5" t="s">
        <v>33</v>
      </c>
      <c r="H616" s="5" t="s">
        <v>1237</v>
      </c>
      <c r="I616" s="6" t="str">
        <f>HYPERLINK("https://news.line.me/issue/oa-withonline/x0h3qyyci61h","URLを開く")</f>
        <v>URLを開く</v>
      </c>
      <c r="J616" s="10" t="s">
        <v>23</v>
      </c>
      <c r="K616" s="10" t="s">
        <v>23</v>
      </c>
    </row>
    <row r="617" spans="1:11">
      <c r="A617" s="7" t="s">
        <v>684</v>
      </c>
      <c r="B617" s="7" t="s">
        <v>345</v>
      </c>
      <c r="C617" s="13" t="s">
        <v>1150</v>
      </c>
      <c r="D617" s="13" t="s">
        <v>1151</v>
      </c>
      <c r="E617" s="5" t="s">
        <v>1238</v>
      </c>
      <c r="F617" s="5" t="s">
        <v>65</v>
      </c>
      <c r="G617" s="5" t="s">
        <v>21</v>
      </c>
      <c r="H617" s="5" t="s">
        <v>1239</v>
      </c>
      <c r="I617" s="6" t="str">
        <f>HYPERLINK("http://www.creators-station.jp/news/20210212-2","URLを開く")</f>
        <v>URLを開く</v>
      </c>
      <c r="J617" s="10" t="s">
        <v>23</v>
      </c>
      <c r="K617" s="10" t="s">
        <v>23</v>
      </c>
    </row>
    <row r="618" spans="1:11">
      <c r="A618" s="7" t="s">
        <v>684</v>
      </c>
      <c r="B618" s="7" t="s">
        <v>345</v>
      </c>
      <c r="C618" s="13" t="s">
        <v>314</v>
      </c>
      <c r="D618" s="13" t="s">
        <v>315</v>
      </c>
      <c r="E618" s="5" t="s">
        <v>1240</v>
      </c>
      <c r="F618" s="5" t="s">
        <v>65</v>
      </c>
      <c r="G618" s="5" t="s">
        <v>21</v>
      </c>
      <c r="H618" s="5" t="s">
        <v>1241</v>
      </c>
      <c r="I618" s="6" t="str">
        <f>HYPERLINK("https://news.fresheye.com/article/fenwnews2/1000003/20210212132255_pr_pr000000001-000074171/a/index.html","URLを開く")</f>
        <v>URLを開く</v>
      </c>
      <c r="J618" s="10" t="s">
        <v>23</v>
      </c>
      <c r="K618" s="10" t="s">
        <v>23</v>
      </c>
    </row>
    <row r="619" spans="1:11">
      <c r="A619" s="7" t="s">
        <v>684</v>
      </c>
      <c r="B619" s="7" t="s">
        <v>345</v>
      </c>
      <c r="C619" s="13" t="s">
        <v>50</v>
      </c>
      <c r="D619" s="13" t="s">
        <v>51</v>
      </c>
      <c r="E619" s="5" t="s">
        <v>1242</v>
      </c>
      <c r="F619" s="5" t="s">
        <v>40</v>
      </c>
      <c r="G619" s="5" t="s">
        <v>33</v>
      </c>
      <c r="H619" s="5" t="s">
        <v>1243</v>
      </c>
      <c r="I619" s="6" t="str">
        <f>HYPERLINK("https://news.yahoo.co.jp/articles/5b48640019a8fa12f066ee80b8ca46a9e69b1a9a","URLを開く")</f>
        <v>URLを開く</v>
      </c>
      <c r="J619" s="10" t="s">
        <v>23</v>
      </c>
      <c r="K619" s="10" t="s">
        <v>23</v>
      </c>
    </row>
    <row r="620" spans="1:11">
      <c r="A620" s="7" t="s">
        <v>684</v>
      </c>
      <c r="B620" s="7" t="s">
        <v>345</v>
      </c>
      <c r="C620" s="13" t="s">
        <v>419</v>
      </c>
      <c r="D620" s="13" t="s">
        <v>420</v>
      </c>
      <c r="E620" s="5" t="s">
        <v>1244</v>
      </c>
      <c r="F620" s="5" t="s">
        <v>188</v>
      </c>
      <c r="G620" s="5" t="s">
        <v>27</v>
      </c>
      <c r="H620" s="5" t="s">
        <v>1245</v>
      </c>
      <c r="I620" s="6" t="str">
        <f>HYPERLINK(" "," ")</f>
        <v xml:space="preserve"> </v>
      </c>
      <c r="J620" s="10" t="s">
        <v>23</v>
      </c>
      <c r="K620" s="10" t="s">
        <v>23</v>
      </c>
    </row>
    <row r="621" spans="1:11">
      <c r="A621" s="7" t="s">
        <v>684</v>
      </c>
      <c r="B621" s="7" t="s">
        <v>345</v>
      </c>
      <c r="C621" s="13" t="s">
        <v>419</v>
      </c>
      <c r="D621" s="13" t="s">
        <v>420</v>
      </c>
      <c r="E621" s="5" t="s">
        <v>1244</v>
      </c>
      <c r="F621" s="5" t="s">
        <v>188</v>
      </c>
      <c r="G621" s="5" t="s">
        <v>27</v>
      </c>
      <c r="H621" s="5" t="s">
        <v>1246</v>
      </c>
      <c r="I621" s="6" t="str">
        <f>HYPERLINK(" "," ")</f>
        <v xml:space="preserve"> </v>
      </c>
      <c r="J621" s="10" t="s">
        <v>23</v>
      </c>
      <c r="K621" s="10" t="s">
        <v>23</v>
      </c>
    </row>
    <row r="622" spans="1:11">
      <c r="A622" s="7" t="s">
        <v>684</v>
      </c>
      <c r="B622" s="7" t="s">
        <v>345</v>
      </c>
      <c r="C622" s="13" t="s">
        <v>831</v>
      </c>
      <c r="D622" s="13" t="s">
        <v>832</v>
      </c>
      <c r="E622" s="5" t="s">
        <v>1247</v>
      </c>
      <c r="F622" s="5" t="s">
        <v>88</v>
      </c>
      <c r="G622" s="5" t="s">
        <v>27</v>
      </c>
      <c r="H622" s="5" t="s">
        <v>1248</v>
      </c>
      <c r="I622" s="6" t="str">
        <f>HYPERLINK("https://mastered.jp/news/nike-vapormaxevonrg-20210218/","URLを開く")</f>
        <v>URLを開く</v>
      </c>
      <c r="J622" s="10" t="s">
        <v>23</v>
      </c>
      <c r="K622" s="10" t="s">
        <v>23</v>
      </c>
    </row>
    <row r="623" spans="1:11">
      <c r="A623" s="8"/>
      <c r="B623" s="8"/>
      <c r="C623" s="1"/>
      <c r="D623" s="1"/>
      <c r="E623" s="1"/>
      <c r="H623" s="1"/>
      <c r="I623" s="1"/>
    </row>
    <row r="624" spans="1:11">
      <c r="A624" s="1"/>
      <c r="B624" s="1"/>
      <c r="C624" s="14"/>
      <c r="D624" s="14"/>
      <c r="E624" s="1"/>
      <c r="H624" s="1"/>
    </row>
    <row r="625" spans="1:8">
      <c r="A625" s="1"/>
      <c r="B625" s="1"/>
      <c r="C625" s="14"/>
      <c r="D625" s="14"/>
      <c r="E625" s="1"/>
      <c r="H625" s="1"/>
    </row>
    <row r="626" spans="1:8">
      <c r="A626" s="1"/>
      <c r="B626" s="1"/>
      <c r="C626" s="14"/>
      <c r="D626" s="14"/>
      <c r="E626" s="1"/>
      <c r="H626" s="1"/>
    </row>
    <row r="627" spans="1:8">
      <c r="A627" s="1"/>
      <c r="B627" s="1"/>
      <c r="C627" s="14"/>
      <c r="D627" s="14"/>
      <c r="E627" s="1"/>
      <c r="H627" s="1"/>
    </row>
    <row r="628" spans="1:8">
      <c r="A628" s="1"/>
      <c r="B628" s="1"/>
      <c r="C628" s="14"/>
      <c r="D628" s="14"/>
      <c r="E628" s="1"/>
      <c r="H628" s="1"/>
    </row>
    <row r="629" spans="1:8">
      <c r="A629" s="1"/>
      <c r="B629" s="1"/>
      <c r="C629" s="14"/>
      <c r="D629" s="14"/>
      <c r="E629" s="1"/>
      <c r="H629" s="1"/>
    </row>
    <row r="630" spans="1:8">
      <c r="A630" s="1"/>
      <c r="B630" s="1"/>
      <c r="C630" s="14"/>
      <c r="D630" s="14"/>
      <c r="E630" s="1"/>
      <c r="H630" s="1"/>
    </row>
    <row r="631" spans="1:8">
      <c r="A631" s="1"/>
      <c r="B631" s="1"/>
      <c r="C631" s="14"/>
      <c r="D631" s="14"/>
      <c r="E631" s="1"/>
      <c r="H631" s="1"/>
    </row>
    <row r="632" spans="1:8">
      <c r="A632" s="1"/>
      <c r="B632" s="1"/>
      <c r="C632" s="14"/>
      <c r="D632" s="14"/>
      <c r="E632" s="1"/>
      <c r="H632" s="1"/>
    </row>
    <row r="633" spans="1:8">
      <c r="D633" s="14"/>
    </row>
  </sheetData>
  <mergeCells count="3">
    <mergeCell ref="H4:I4"/>
    <mergeCell ref="B1:E1"/>
    <mergeCell ref="B2:E2"/>
  </mergeCells>
  <phoneticPr fontId="2"/>
  <pageMargins left="0.23622047244094491" right="0.23622047244094491" top="0.70866141732283472" bottom="0.70866141732283472" header="0.31496062992125984" footer="0.31496062992125984"/>
  <pageSetup paperSize="9" scale="75" fitToHeight="0"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3"/>
  <sheetViews>
    <sheetView workbookViewId="0"/>
  </sheetViews>
  <sheetFormatPr baseColWidth="10" defaultColWidth="11" defaultRowHeight="14"/>
  <sheetData>
    <row r="3" spans="2:2">
      <c r="B3" t="s">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Display me</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skrol29;OpenTBS 1.9.4</dc:creator>
  <cp:lastModifiedBy>中新井健</cp:lastModifiedBy>
  <cp:lastPrinted>2016-10-02T06:20:15Z</cp:lastPrinted>
  <dcterms:created xsi:type="dcterms:W3CDTF">2009-10-15T13:12:29Z</dcterms:created>
  <dcterms:modified xsi:type="dcterms:W3CDTF">2021-02-18T02:13:11Z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bd65cbf2-eab2-4cf8-8e0c-f99240e79c95</vt:lpwstr>
  </property>
</Properties>
</file>